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CHIVOS LULÚ\RECTORADO UNA\DIRECCIÓN DE PLANIFICACIÓN Y ESTADÍSTICA\MATERIALES FINALES\DATOS CARRERAS DE GRADO POR UAs-Carreras y Sedes\"/>
    </mc:Choice>
  </mc:AlternateContent>
  <bookViews>
    <workbookView xWindow="0" yWindow="0" windowWidth="19440" windowHeight="9888" tabRatio="834"/>
  </bookViews>
  <sheets>
    <sheet name="Postulantes por UAs_2025" sheetId="18" r:id="rId1"/>
    <sheet name="Postu por UAs-Carreras y Sedes" sheetId="19" r:id="rId2"/>
    <sheet name="Postu por Carreras y Sedes" sheetId="17" r:id="rId3"/>
  </sheets>
  <externalReferences>
    <externalReference r:id="rId4"/>
  </externalReferences>
  <definedNames>
    <definedName name="_xlnm._FilterDatabase" localSheetId="1" hidden="1">'Postu por UAs-Carreras y Sedes'!$A$7:$E$229</definedName>
    <definedName name="_xlnm.Print_Area" localSheetId="2">'Postu por Carreras y Sedes'!$A$1:$G$173</definedName>
    <definedName name="_xlnm.Print_Area" localSheetId="1">'Postu por UAs-Carreras y Sedes'!$A$1:$G$229</definedName>
    <definedName name="_xlnm.Print_Area" localSheetId="0">'Postulantes por UAs_2025'!$A$1:$H$28</definedName>
    <definedName name="_xlnm.Print_Titles" localSheetId="2">'Postu por Carreras y Sedes'!$1:$4</definedName>
    <definedName name="_xlnm.Print_Titles" localSheetId="1">'Postu por UAs-Carreras y Sedes'!$1:$5</definedName>
    <definedName name="_xlnm.Print_Titles" localSheetId="0">'Postulantes por UAs_2025'!$1:$5</definedName>
  </definedNames>
  <calcPr calcId="162913"/>
</workbook>
</file>

<file path=xl/calcChain.xml><?xml version="1.0" encoding="utf-8"?>
<calcChain xmlns="http://schemas.openxmlformats.org/spreadsheetml/2006/main">
  <c r="D172" i="17" l="1"/>
  <c r="C172" i="17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10" i="18"/>
  <c r="G10" i="18"/>
  <c r="G228" i="19" l="1"/>
  <c r="F228" i="19"/>
  <c r="E228" i="19"/>
  <c r="D228" i="19"/>
  <c r="C227" i="19"/>
  <c r="C226" i="19"/>
  <c r="C221" i="19"/>
  <c r="C217" i="19"/>
  <c r="C216" i="19"/>
  <c r="G215" i="19"/>
  <c r="G221" i="19" s="1"/>
  <c r="F215" i="19"/>
  <c r="E215" i="19"/>
  <c r="D215" i="19"/>
  <c r="C214" i="19"/>
  <c r="C213" i="19"/>
  <c r="G212" i="19"/>
  <c r="F212" i="19"/>
  <c r="E212" i="19"/>
  <c r="D212" i="19"/>
  <c r="D221" i="19" s="1"/>
  <c r="G208" i="19"/>
  <c r="F208" i="19"/>
  <c r="E208" i="19"/>
  <c r="D208" i="19"/>
  <c r="C207" i="19"/>
  <c r="C204" i="19"/>
  <c r="C203" i="19"/>
  <c r="C201" i="19"/>
  <c r="C200" i="19"/>
  <c r="C199" i="19"/>
  <c r="C198" i="19"/>
  <c r="C197" i="19"/>
  <c r="C196" i="19"/>
  <c r="C195" i="19"/>
  <c r="F191" i="19"/>
  <c r="E191" i="19"/>
  <c r="D191" i="19"/>
  <c r="C191" i="19"/>
  <c r="G190" i="19"/>
  <c r="G186" i="19"/>
  <c r="G172" i="19"/>
  <c r="G191" i="19" s="1"/>
  <c r="G168" i="19"/>
  <c r="F168" i="19"/>
  <c r="E168" i="19"/>
  <c r="D168" i="19"/>
  <c r="C165" i="19"/>
  <c r="C163" i="19"/>
  <c r="C162" i="19"/>
  <c r="C161" i="19"/>
  <c r="C168" i="19" s="1"/>
  <c r="C157" i="19"/>
  <c r="G152" i="19"/>
  <c r="G150" i="19"/>
  <c r="G157" i="19" s="1"/>
  <c r="C146" i="19"/>
  <c r="C142" i="19"/>
  <c r="C140" i="19"/>
  <c r="C139" i="19"/>
  <c r="C138" i="19"/>
  <c r="C137" i="19"/>
  <c r="C136" i="19"/>
  <c r="G135" i="19"/>
  <c r="G146" i="19" s="1"/>
  <c r="F135" i="19"/>
  <c r="F146" i="19" s="1"/>
  <c r="E135" i="19"/>
  <c r="D135" i="19"/>
  <c r="C133" i="19"/>
  <c r="C132" i="19"/>
  <c r="C130" i="19"/>
  <c r="C129" i="19"/>
  <c r="G128" i="19"/>
  <c r="F128" i="19"/>
  <c r="E128" i="19"/>
  <c r="D128" i="19"/>
  <c r="D146" i="19" s="1"/>
  <c r="C123" i="19"/>
  <c r="C121" i="19"/>
  <c r="C119" i="19"/>
  <c r="C115" i="19"/>
  <c r="C113" i="19"/>
  <c r="C112" i="19"/>
  <c r="C110" i="19"/>
  <c r="C109" i="19" s="1"/>
  <c r="G109" i="19"/>
  <c r="F109" i="19"/>
  <c r="F124" i="19"/>
  <c r="E109" i="19"/>
  <c r="E124" i="19" s="1"/>
  <c r="D109" i="19"/>
  <c r="D124" i="19" s="1"/>
  <c r="C108" i="19"/>
  <c r="G107" i="19"/>
  <c r="G97" i="19" s="1"/>
  <c r="G124" i="19" s="1"/>
  <c r="C107" i="19"/>
  <c r="C106" i="19"/>
  <c r="C105" i="19"/>
  <c r="C104" i="19"/>
  <c r="C102" i="19"/>
  <c r="C101" i="19"/>
  <c r="C100" i="19"/>
  <c r="C99" i="19"/>
  <c r="F97" i="19"/>
  <c r="E97" i="19"/>
  <c r="D97" i="19"/>
  <c r="G91" i="19"/>
  <c r="F91" i="19"/>
  <c r="E91" i="19"/>
  <c r="D91" i="19"/>
  <c r="C91" i="19"/>
  <c r="C89" i="19"/>
  <c r="C87" i="19"/>
  <c r="C83" i="19" s="1"/>
  <c r="C93" i="19" s="1"/>
  <c r="C86" i="19"/>
  <c r="C85" i="19"/>
  <c r="C84" i="19"/>
  <c r="G83" i="19"/>
  <c r="G93" i="19"/>
  <c r="F83" i="19"/>
  <c r="F93" i="19" s="1"/>
  <c r="E83" i="19"/>
  <c r="E93" i="19" s="1"/>
  <c r="D83" i="19"/>
  <c r="D93" i="19" s="1"/>
  <c r="G79" i="19"/>
  <c r="F79" i="19"/>
  <c r="E79" i="19"/>
  <c r="D79" i="19"/>
  <c r="C79" i="19"/>
  <c r="G57" i="19"/>
  <c r="F57" i="19"/>
  <c r="F73" i="19" s="1"/>
  <c r="E57" i="19"/>
  <c r="E73" i="19" s="1"/>
  <c r="D57" i="19"/>
  <c r="D73" i="19"/>
  <c r="C57" i="19"/>
  <c r="C73" i="19" s="1"/>
  <c r="G53" i="19"/>
  <c r="G73" i="19" s="1"/>
  <c r="F53" i="19"/>
  <c r="E53" i="19"/>
  <c r="C49" i="19"/>
  <c r="G46" i="19"/>
  <c r="G49" i="19" s="1"/>
  <c r="F46" i="19"/>
  <c r="E46" i="19"/>
  <c r="D46" i="19"/>
  <c r="C45" i="19"/>
  <c r="C44" i="19"/>
  <c r="C43" i="19"/>
  <c r="C41" i="19"/>
  <c r="C40" i="19"/>
  <c r="C39" i="19"/>
  <c r="G38" i="19"/>
  <c r="F38" i="19"/>
  <c r="E38" i="19"/>
  <c r="E49" i="19"/>
  <c r="D38" i="19"/>
  <c r="D49" i="19" s="1"/>
  <c r="F34" i="19"/>
  <c r="E34" i="19"/>
  <c r="D34" i="19"/>
  <c r="C34" i="19"/>
  <c r="G32" i="19"/>
  <c r="G27" i="19"/>
  <c r="G34" i="19"/>
  <c r="F23" i="19"/>
  <c r="E23" i="19"/>
  <c r="D23" i="19"/>
  <c r="C23" i="19"/>
  <c r="G14" i="19"/>
  <c r="G13" i="19" s="1"/>
  <c r="G9" i="19"/>
  <c r="F24" i="18"/>
  <c r="G24" i="18" s="1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D156" i="17"/>
  <c r="E156" i="17"/>
  <c r="F156" i="17"/>
  <c r="E63" i="17"/>
  <c r="F63" i="17"/>
  <c r="G63" i="17"/>
  <c r="D63" i="17"/>
  <c r="D39" i="17"/>
  <c r="E39" i="17"/>
  <c r="E172" i="17" s="1"/>
  <c r="F39" i="17"/>
  <c r="D24" i="17"/>
  <c r="E24" i="17"/>
  <c r="F24" i="17"/>
  <c r="G24" i="17"/>
  <c r="C24" i="17"/>
  <c r="E171" i="17"/>
  <c r="D171" i="17"/>
  <c r="E164" i="17"/>
  <c r="F164" i="17"/>
  <c r="G164" i="17"/>
  <c r="D164" i="17"/>
  <c r="E78" i="17"/>
  <c r="F78" i="17"/>
  <c r="D78" i="17"/>
  <c r="D33" i="17"/>
  <c r="E33" i="17"/>
  <c r="F33" i="17"/>
  <c r="G33" i="17"/>
  <c r="G161" i="17"/>
  <c r="G156" i="17"/>
  <c r="G39" i="17"/>
  <c r="G78" i="17" s="1"/>
  <c r="G83" i="17"/>
  <c r="G26" i="17"/>
  <c r="F171" i="17"/>
  <c r="C168" i="17"/>
  <c r="C167" i="17"/>
  <c r="C166" i="17"/>
  <c r="C165" i="17"/>
  <c r="C171" i="17" s="1"/>
  <c r="C162" i="17"/>
  <c r="C164" i="17"/>
  <c r="F161" i="17"/>
  <c r="E161" i="17"/>
  <c r="D161" i="17"/>
  <c r="C160" i="17"/>
  <c r="C161" i="17"/>
  <c r="G159" i="17"/>
  <c r="D149" i="17"/>
  <c r="E149" i="17"/>
  <c r="F149" i="17"/>
  <c r="G70" i="17"/>
  <c r="G67" i="17"/>
  <c r="G58" i="17"/>
  <c r="G56" i="17"/>
  <c r="G53" i="17"/>
  <c r="G47" i="17"/>
  <c r="G43" i="17"/>
  <c r="C58" i="17"/>
  <c r="D58" i="17"/>
  <c r="E58" i="17"/>
  <c r="G171" i="17"/>
  <c r="D159" i="17"/>
  <c r="E159" i="17"/>
  <c r="F159" i="17"/>
  <c r="D83" i="17"/>
  <c r="E83" i="17"/>
  <c r="F83" i="17"/>
  <c r="D70" i="17"/>
  <c r="E70" i="17"/>
  <c r="F70" i="17"/>
  <c r="E67" i="17"/>
  <c r="F67" i="17"/>
  <c r="D67" i="17"/>
  <c r="F56" i="17"/>
  <c r="E56" i="17"/>
  <c r="D56" i="17"/>
  <c r="D53" i="17"/>
  <c r="D47" i="17"/>
  <c r="E47" i="17"/>
  <c r="D43" i="17"/>
  <c r="E43" i="17"/>
  <c r="F43" i="17"/>
  <c r="G21" i="17"/>
  <c r="F58" i="17"/>
  <c r="C158" i="17"/>
  <c r="C157" i="17"/>
  <c r="C159" i="17"/>
  <c r="C155" i="17"/>
  <c r="C154" i="17"/>
  <c r="C153" i="17"/>
  <c r="C152" i="17"/>
  <c r="C151" i="17"/>
  <c r="C150" i="17"/>
  <c r="C156" i="17" s="1"/>
  <c r="C148" i="17"/>
  <c r="C147" i="17"/>
  <c r="C145" i="17"/>
  <c r="C144" i="17"/>
  <c r="C143" i="17"/>
  <c r="C142" i="17"/>
  <c r="C141" i="17"/>
  <c r="C140" i="17"/>
  <c r="C139" i="17"/>
  <c r="C138" i="17"/>
  <c r="C137" i="17"/>
  <c r="C136" i="17"/>
  <c r="C135" i="17"/>
  <c r="C134" i="17"/>
  <c r="C133" i="17"/>
  <c r="C132" i="17"/>
  <c r="C121" i="17"/>
  <c r="C120" i="17"/>
  <c r="C119" i="17"/>
  <c r="C118" i="17"/>
  <c r="C117" i="17"/>
  <c r="C116" i="17"/>
  <c r="C115" i="17"/>
  <c r="C114" i="17"/>
  <c r="C113" i="17"/>
  <c r="C112" i="17"/>
  <c r="C111" i="17"/>
  <c r="C110" i="17"/>
  <c r="C109" i="17"/>
  <c r="C108" i="17"/>
  <c r="C107" i="17"/>
  <c r="C106" i="17"/>
  <c r="C105" i="17"/>
  <c r="C104" i="17"/>
  <c r="C103" i="17"/>
  <c r="C102" i="17"/>
  <c r="C101" i="17"/>
  <c r="C100" i="17"/>
  <c r="C99" i="17"/>
  <c r="C98" i="17"/>
  <c r="C97" i="17"/>
  <c r="C96" i="17"/>
  <c r="C95" i="17"/>
  <c r="C94" i="17"/>
  <c r="C93" i="17"/>
  <c r="C92" i="17"/>
  <c r="C91" i="17"/>
  <c r="C90" i="17"/>
  <c r="C88" i="17"/>
  <c r="C87" i="17"/>
  <c r="C86" i="17"/>
  <c r="C85" i="17"/>
  <c r="C84" i="17"/>
  <c r="C82" i="17"/>
  <c r="C81" i="17"/>
  <c r="C80" i="17"/>
  <c r="C79" i="17"/>
  <c r="C83" i="17" s="1"/>
  <c r="C76" i="17"/>
  <c r="C75" i="17"/>
  <c r="C73" i="17"/>
  <c r="C72" i="17"/>
  <c r="C71" i="17"/>
  <c r="C78" i="17" s="1"/>
  <c r="C69" i="17"/>
  <c r="C68" i="17"/>
  <c r="C70" i="17"/>
  <c r="C66" i="17"/>
  <c r="C65" i="17"/>
  <c r="C64" i="17"/>
  <c r="C61" i="17"/>
  <c r="C60" i="17"/>
  <c r="C59" i="17"/>
  <c r="C63" i="17" s="1"/>
  <c r="C54" i="17"/>
  <c r="C56" i="17" s="1"/>
  <c r="E53" i="17"/>
  <c r="C51" i="17"/>
  <c r="C50" i="17"/>
  <c r="C49" i="17"/>
  <c r="C48" i="17"/>
  <c r="C53" i="17" s="1"/>
  <c r="C46" i="17"/>
  <c r="C45" i="17"/>
  <c r="C44" i="17"/>
  <c r="C41" i="17"/>
  <c r="C40" i="17"/>
  <c r="C43" i="17" s="1"/>
  <c r="C38" i="17"/>
  <c r="C35" i="17"/>
  <c r="C34" i="17"/>
  <c r="C30" i="17"/>
  <c r="C29" i="17"/>
  <c r="C28" i="17"/>
  <c r="C27" i="17"/>
  <c r="C33" i="17" s="1"/>
  <c r="F47" i="17"/>
  <c r="F53" i="17"/>
  <c r="G149" i="17"/>
  <c r="G23" i="19" l="1"/>
  <c r="C67" i="17"/>
  <c r="F49" i="19"/>
  <c r="F221" i="19"/>
  <c r="C149" i="17"/>
  <c r="E146" i="19"/>
  <c r="C47" i="17"/>
  <c r="E221" i="19"/>
  <c r="C39" i="17"/>
  <c r="C97" i="19"/>
  <c r="C124" i="19" s="1"/>
  <c r="C208" i="19"/>
  <c r="C228" i="19"/>
  <c r="F172" i="17"/>
  <c r="G172" i="17"/>
</calcChain>
</file>

<file path=xl/sharedStrings.xml><?xml version="1.0" encoding="utf-8"?>
<sst xmlns="http://schemas.openxmlformats.org/spreadsheetml/2006/main" count="490" uniqueCount="154">
  <si>
    <t>Derecho</t>
  </si>
  <si>
    <t xml:space="preserve">Notariado </t>
  </si>
  <si>
    <t xml:space="preserve">Ciencias Políticas </t>
  </si>
  <si>
    <t>Medicina y Cirugía</t>
  </si>
  <si>
    <t>Kinesiología y Fisioterapia</t>
  </si>
  <si>
    <t>Ingeniería Civil</t>
  </si>
  <si>
    <t>Ingeniería Industrial</t>
  </si>
  <si>
    <t xml:space="preserve">Ingeniería en Ciencias Geográficas </t>
  </si>
  <si>
    <t>Ingeniería Electrónica</t>
  </si>
  <si>
    <t>Ingeniería Mecánica</t>
  </si>
  <si>
    <t>Ingeniería Mecatrónica</t>
  </si>
  <si>
    <t>Economía</t>
  </si>
  <si>
    <t>Administración</t>
  </si>
  <si>
    <t>Contaduría Pública</t>
  </si>
  <si>
    <t>Odontología</t>
  </si>
  <si>
    <t>Farmacia</t>
  </si>
  <si>
    <t>Bioquímica</t>
  </si>
  <si>
    <t>Ingeniería Química</t>
  </si>
  <si>
    <t>Ingeniería de Alimentos</t>
  </si>
  <si>
    <t>Filosofía</t>
  </si>
  <si>
    <t>Letras</t>
  </si>
  <si>
    <t>Historia</t>
  </si>
  <si>
    <t>Psicología</t>
  </si>
  <si>
    <t>Ciencias de la Comunicación</t>
  </si>
  <si>
    <t>Ciencias de la Educación</t>
  </si>
  <si>
    <t>Ingeniería Agronómica</t>
  </si>
  <si>
    <t>Ingeniería Forestal</t>
  </si>
  <si>
    <t>Ingeniería en Ecología Humana</t>
  </si>
  <si>
    <t>Administración Agropecuaria</t>
  </si>
  <si>
    <t>Ingeniería Ambiental</t>
  </si>
  <si>
    <t>Ciencias Veterinarias</t>
  </si>
  <si>
    <t>Arquitectura</t>
  </si>
  <si>
    <t>Diseño Industrial</t>
  </si>
  <si>
    <t>Música</t>
  </si>
  <si>
    <t>Ingeniería en Informática</t>
  </si>
  <si>
    <t>Ingeniería en Electricidad</t>
  </si>
  <si>
    <t>Ingeniería en Electrónica</t>
  </si>
  <si>
    <t>Ciencias de la Información</t>
  </si>
  <si>
    <t xml:space="preserve">Gestión de la Hospitalidad </t>
  </si>
  <si>
    <t>Ingeniería en Marketing</t>
  </si>
  <si>
    <t>Matemática Pura</t>
  </si>
  <si>
    <t>Química</t>
  </si>
  <si>
    <t>Física</t>
  </si>
  <si>
    <t>Geología</t>
  </si>
  <si>
    <t>Biología</t>
  </si>
  <si>
    <t>Biotecnología</t>
  </si>
  <si>
    <t>Enfermería</t>
  </si>
  <si>
    <t>Pedro Juan Caballero</t>
  </si>
  <si>
    <t>Coronel Oviedo</t>
  </si>
  <si>
    <t>San Estanislao</t>
  </si>
  <si>
    <t>Caaguazú</t>
  </si>
  <si>
    <t>Benjamín Aceval</t>
  </si>
  <si>
    <t>Paraguarí</t>
  </si>
  <si>
    <t>Caacupé</t>
  </si>
  <si>
    <t>Villa Hayes</t>
  </si>
  <si>
    <t>Villarrica</t>
  </si>
  <si>
    <t>Lengua Alemana</t>
  </si>
  <si>
    <t>Lengua Francesa</t>
  </si>
  <si>
    <t>Lengua Guaraní</t>
  </si>
  <si>
    <t>Lengua Inglesa</t>
  </si>
  <si>
    <t>Lengua Portuguesa</t>
  </si>
  <si>
    <t>Caazapá</t>
  </si>
  <si>
    <t>Concepción</t>
  </si>
  <si>
    <t>Trabajo Social</t>
  </si>
  <si>
    <t>San Juan Bautista (Misiones)</t>
  </si>
  <si>
    <t>Asunción</t>
  </si>
  <si>
    <t>San Pedro del Ykuamandyjú</t>
  </si>
  <si>
    <t>Santa Rosa (Misiones)</t>
  </si>
  <si>
    <t>San Lorenzo</t>
  </si>
  <si>
    <t>Artes Visuales</t>
  </si>
  <si>
    <t xml:space="preserve">Ingeniería Electromecánica </t>
  </si>
  <si>
    <t>Quiindy</t>
  </si>
  <si>
    <t>SEDES</t>
  </si>
  <si>
    <t>-</t>
  </si>
  <si>
    <t>Química Industrial</t>
  </si>
  <si>
    <t>Nutrición</t>
  </si>
  <si>
    <t xml:space="preserve">Electricidad </t>
  </si>
  <si>
    <t xml:space="preserve">Ciencias Atmosféricas </t>
  </si>
  <si>
    <t>Ciencias Informáticas</t>
  </si>
  <si>
    <t>Danza</t>
  </si>
  <si>
    <t>Ingeniería en Aeronáutica</t>
  </si>
  <si>
    <t>Radiología e Imagenología
 (Licenciatura)</t>
  </si>
  <si>
    <t>Ciencia y Tecnología de  Alimentos</t>
  </si>
  <si>
    <t>Ingeniería Agroalimentaria</t>
  </si>
  <si>
    <t>Santa Rosa del Aguaray</t>
  </si>
  <si>
    <t>Obstetricia</t>
  </si>
  <si>
    <t>Educación en Ciencias Básicas y sus Tecnologías Presencial  y Semipresencial</t>
  </si>
  <si>
    <t>Matemática Estadística Presencial y Semipresencial</t>
  </si>
  <si>
    <t>Tecnología de Producción Presencial y Semipresencial</t>
  </si>
  <si>
    <t>Ayolas</t>
  </si>
  <si>
    <t>Técnico en Podología</t>
  </si>
  <si>
    <t>Ingeniería en Energía</t>
  </si>
  <si>
    <t>Logística y Transporte</t>
  </si>
  <si>
    <t>Física Médica</t>
  </si>
  <si>
    <t>Ciencias Sociales</t>
  </si>
  <si>
    <t>Años</t>
  </si>
  <si>
    <t>Educación Matemática Presencial y Semipresencial</t>
  </si>
  <si>
    <t>Diseño de Indumentaria Escénica  y Urbana</t>
  </si>
  <si>
    <t>Total Sede</t>
  </si>
  <si>
    <t xml:space="preserve">CARRERAS </t>
  </si>
  <si>
    <t>Ingeniería en Sistemas de 
Producción</t>
  </si>
  <si>
    <t>Ingeniería en Ciencias de los 
Materiales</t>
  </si>
  <si>
    <t>Colonia Neuland Chaco Central (Boquerón)</t>
  </si>
  <si>
    <t>Instrumentación y Área 
Quirúrgica</t>
  </si>
  <si>
    <r>
      <t xml:space="preserve">Ciencias Informáticas </t>
    </r>
    <r>
      <rPr>
        <vertAlign val="superscript"/>
        <sz val="9"/>
        <color indexed="8"/>
        <rFont val="Arial"/>
        <family val="2"/>
      </rPr>
      <t/>
    </r>
  </si>
  <si>
    <r>
      <t>Obstetricia</t>
    </r>
    <r>
      <rPr>
        <vertAlign val="superscript"/>
        <sz val="9"/>
        <color indexed="8"/>
        <rFont val="Arial"/>
        <family val="2"/>
      </rPr>
      <t/>
    </r>
  </si>
  <si>
    <t>Guajaivi</t>
  </si>
  <si>
    <t>Ciencias y Técnología de Alimentos</t>
  </si>
  <si>
    <t>Protésis Dental</t>
  </si>
  <si>
    <t>Educación Artistica</t>
  </si>
  <si>
    <t>Postulantes por Unidades Académicas. Periodo 2021- 2025</t>
  </si>
  <si>
    <t>UNIDADES ACADÉMICAS</t>
  </si>
  <si>
    <t>Promedio</t>
  </si>
  <si>
    <t>Porcentaje</t>
  </si>
  <si>
    <t xml:space="preserve"> </t>
  </si>
  <si>
    <t>Facultad de Derecho y Ciencias Sociales</t>
  </si>
  <si>
    <t>Facultad de Ciencias Médicas</t>
  </si>
  <si>
    <t>Facultad de Ingeniería</t>
  </si>
  <si>
    <t>Facultad de Ciencias Económicas</t>
  </si>
  <si>
    <t>Facultad de Odontología</t>
  </si>
  <si>
    <t>Facultad de Ciencias Químicas</t>
  </si>
  <si>
    <t>Facultad de Filosofía</t>
  </si>
  <si>
    <t>Facultad de Ciencias Agrarias</t>
  </si>
  <si>
    <t>Facultad de Ciencias Veterinarias</t>
  </si>
  <si>
    <t>Facultad de Arquitectura, Diseño y Arte</t>
  </si>
  <si>
    <t>Facultad Politécnica</t>
  </si>
  <si>
    <t>Facultad de Ciencias Exactas y Naturales</t>
  </si>
  <si>
    <t xml:space="preserve">Facultad de Enfermería y Obstetricia </t>
  </si>
  <si>
    <t xml:space="preserve">Facultad de Ciencias Sociales </t>
  </si>
  <si>
    <t>Sede</t>
  </si>
  <si>
    <t>Carrera</t>
  </si>
  <si>
    <t>SEDE CENTRAL</t>
  </si>
  <si>
    <t xml:space="preserve">Asunción </t>
  </si>
  <si>
    <t>FILIALES EN OTRAS CIUDADES DEL PAÍS</t>
  </si>
  <si>
    <t xml:space="preserve">Quiindy </t>
  </si>
  <si>
    <t>Caaguazú *</t>
  </si>
  <si>
    <t>Total Unidad Académica</t>
  </si>
  <si>
    <t>*Funciona como una sección de la Sede Central</t>
  </si>
  <si>
    <t xml:space="preserve">San Lorenzo </t>
  </si>
  <si>
    <t xml:space="preserve">Coronel Oviedo </t>
  </si>
  <si>
    <t xml:space="preserve">Paraguarí </t>
  </si>
  <si>
    <t xml:space="preserve">San Estanislao </t>
  </si>
  <si>
    <t xml:space="preserve">Caacupé </t>
  </si>
  <si>
    <t xml:space="preserve">Caaguazú </t>
  </si>
  <si>
    <t xml:space="preserve">Villarrica </t>
  </si>
  <si>
    <t>Protesis Dental</t>
  </si>
  <si>
    <t xml:space="preserve">Guajaivi </t>
  </si>
  <si>
    <t>Facultad de Filosofia</t>
  </si>
  <si>
    <t>Ingenieria Agronómica</t>
  </si>
  <si>
    <t>Facultad de Arquitectura, Diseño y Artes</t>
  </si>
  <si>
    <t>Diseño de Indumentaria Escénica
 y Urbana</t>
  </si>
  <si>
    <t xml:space="preserve">Ingenieria en Sistemas de Producción </t>
  </si>
  <si>
    <t>TOTAL</t>
  </si>
  <si>
    <r>
      <rPr>
        <b/>
        <sz val="9"/>
        <color indexed="8"/>
        <rFont val="Arial"/>
        <family val="2"/>
      </rPr>
      <t>Fuente:</t>
    </r>
    <r>
      <rPr>
        <sz val="9"/>
        <color indexed="8"/>
        <rFont val="Arial"/>
        <family val="2"/>
      </rPr>
      <t xml:space="preserve"> Base de datos UNA 2025. Dirección de Planificación y Estadística - DGPE RECTORADO UNA.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</si>
</sst>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5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color theme="0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22"/>
      <color rgb="FF8D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30021"/>
        <bgColor indexed="64"/>
      </patternFill>
    </fill>
    <fill>
      <patternFill patternType="solid">
        <fgColor rgb="FF810D1E"/>
        <bgColor indexed="64"/>
      </patternFill>
    </fill>
    <fill>
      <gradientFill degree="90">
        <stop position="0">
          <color rgb="FF830000"/>
        </stop>
        <stop position="1">
          <color rgb="FF830021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rgb="FF7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15" fillId="0" borderId="0"/>
  </cellStyleXfs>
  <cellXfs count="152">
    <xf numFmtId="0" fontId="0" fillId="0" borderId="0" xfId="0"/>
    <xf numFmtId="165" fontId="5" fillId="2" borderId="0" xfId="1" applyNumberFormat="1" applyFont="1" applyFill="1"/>
    <xf numFmtId="0" fontId="18" fillId="0" borderId="1" xfId="0" applyFont="1" applyBorder="1" applyAlignment="1">
      <alignment vertical="center"/>
    </xf>
    <xf numFmtId="165" fontId="0" fillId="0" borderId="0" xfId="0" applyNumberFormat="1" applyFill="1"/>
    <xf numFmtId="0" fontId="0" fillId="4" borderId="0" xfId="0" applyFill="1"/>
    <xf numFmtId="0" fontId="16" fillId="4" borderId="0" xfId="0" applyFont="1" applyFill="1" applyAlignment="1">
      <alignment horizontal="left"/>
    </xf>
    <xf numFmtId="165" fontId="7" fillId="3" borderId="1" xfId="2" applyNumberFormat="1" applyFont="1" applyFill="1" applyBorder="1" applyAlignment="1">
      <alignment horizontal="left" vertical="center"/>
    </xf>
    <xf numFmtId="165" fontId="7" fillId="2" borderId="1" xfId="2" applyNumberFormat="1" applyFont="1" applyFill="1" applyBorder="1" applyAlignment="1">
      <alignment horizontal="left" wrapText="1"/>
    </xf>
    <xf numFmtId="0" fontId="16" fillId="0" borderId="0" xfId="0" applyFont="1" applyAlignment="1">
      <alignment horizontal="left"/>
    </xf>
    <xf numFmtId="0" fontId="19" fillId="5" borderId="1" xfId="2" applyNumberFormat="1" applyFont="1" applyFill="1" applyBorder="1" applyAlignment="1">
      <alignment horizontal="center" vertical="center"/>
    </xf>
    <xf numFmtId="3" fontId="0" fillId="0" borderId="0" xfId="0" applyNumberFormat="1"/>
    <xf numFmtId="165" fontId="0" fillId="0" borderId="0" xfId="0" applyNumberFormat="1"/>
    <xf numFmtId="0" fontId="20" fillId="0" borderId="0" xfId="0" applyFont="1"/>
    <xf numFmtId="0" fontId="18" fillId="0" borderId="1" xfId="0" applyFont="1" applyBorder="1" applyAlignment="1">
      <alignment vertical="center" wrapText="1"/>
    </xf>
    <xf numFmtId="165" fontId="7" fillId="0" borderId="1" xfId="2" applyNumberFormat="1" applyFont="1" applyFill="1" applyBorder="1" applyAlignment="1">
      <alignment horizontal="left" vertical="center" wrapText="1"/>
    </xf>
    <xf numFmtId="165" fontId="17" fillId="0" borderId="5" xfId="2" applyNumberFormat="1" applyFont="1" applyFill="1" applyBorder="1" applyAlignment="1">
      <alignment vertical="center"/>
    </xf>
    <xf numFmtId="165" fontId="17" fillId="3" borderId="5" xfId="2" applyNumberFormat="1" applyFont="1" applyFill="1" applyBorder="1" applyAlignment="1">
      <alignment vertical="center"/>
    </xf>
    <xf numFmtId="165" fontId="17" fillId="3" borderId="6" xfId="2" applyNumberFormat="1" applyFont="1" applyFill="1" applyBorder="1" applyAlignment="1">
      <alignment vertical="center"/>
    </xf>
    <xf numFmtId="165" fontId="5" fillId="2" borderId="0" xfId="2" applyNumberFormat="1" applyFont="1" applyFill="1"/>
    <xf numFmtId="0" fontId="19" fillId="5" borderId="9" xfId="2" applyNumberFormat="1" applyFont="1" applyFill="1" applyBorder="1" applyAlignment="1">
      <alignment horizontal="center" vertical="center"/>
    </xf>
    <xf numFmtId="165" fontId="10" fillId="0" borderId="9" xfId="2" applyNumberFormat="1" applyFont="1" applyFill="1" applyBorder="1" applyAlignment="1">
      <alignment horizontal="left" vertical="center"/>
    </xf>
    <xf numFmtId="165" fontId="4" fillId="3" borderId="9" xfId="2" applyNumberFormat="1" applyFont="1" applyFill="1" applyBorder="1" applyAlignment="1">
      <alignment horizontal="center"/>
    </xf>
    <xf numFmtId="165" fontId="4" fillId="0" borderId="9" xfId="2" applyNumberFormat="1" applyFont="1" applyFill="1" applyBorder="1" applyAlignment="1">
      <alignment horizontal="center"/>
    </xf>
    <xf numFmtId="165" fontId="10" fillId="2" borderId="9" xfId="2" applyNumberFormat="1" applyFont="1" applyFill="1" applyBorder="1" applyAlignment="1">
      <alignment horizontal="center"/>
    </xf>
    <xf numFmtId="166" fontId="10" fillId="2" borderId="9" xfId="2" applyNumberFormat="1" applyFont="1" applyFill="1" applyBorder="1" applyAlignment="1">
      <alignment horizontal="center"/>
    </xf>
    <xf numFmtId="165" fontId="10" fillId="0" borderId="9" xfId="2" applyNumberFormat="1" applyFont="1" applyFill="1" applyBorder="1" applyAlignment="1">
      <alignment horizontal="center"/>
    </xf>
    <xf numFmtId="165" fontId="10" fillId="0" borderId="9" xfId="2" applyNumberFormat="1" applyFont="1" applyFill="1" applyBorder="1"/>
    <xf numFmtId="165" fontId="10" fillId="3" borderId="9" xfId="2" applyNumberFormat="1" applyFont="1" applyFill="1" applyBorder="1"/>
    <xf numFmtId="165" fontId="3" fillId="8" borderId="9" xfId="2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horizontal="left" vertical="center"/>
    </xf>
    <xf numFmtId="165" fontId="10" fillId="2" borderId="0" xfId="2" applyNumberFormat="1" applyFont="1" applyFill="1"/>
    <xf numFmtId="0" fontId="24" fillId="8" borderId="0" xfId="0" applyFont="1" applyFill="1" applyAlignment="1">
      <alignment horizontal="center"/>
    </xf>
    <xf numFmtId="165" fontId="13" fillId="10" borderId="1" xfId="2" applyNumberFormat="1" applyFont="1" applyFill="1" applyBorder="1" applyAlignment="1"/>
    <xf numFmtId="0" fontId="11" fillId="10" borderId="1" xfId="2" applyNumberFormat="1" applyFont="1" applyFill="1" applyBorder="1" applyAlignment="1">
      <alignment horizontal="center" vertical="center"/>
    </xf>
    <xf numFmtId="165" fontId="8" fillId="3" borderId="1" xfId="2" applyNumberFormat="1" applyFont="1" applyFill="1" applyBorder="1" applyAlignment="1">
      <alignment horizontal="center" vertical="center"/>
    </xf>
    <xf numFmtId="165" fontId="10" fillId="2" borderId="0" xfId="2" applyNumberFormat="1" applyFont="1" applyFill="1" applyAlignment="1">
      <alignment horizontal="right"/>
    </xf>
    <xf numFmtId="165" fontId="5" fillId="2" borderId="0" xfId="2" applyNumberFormat="1" applyFont="1" applyFill="1" applyAlignment="1"/>
    <xf numFmtId="0" fontId="26" fillId="0" borderId="0" xfId="0" applyFont="1" applyAlignment="1"/>
    <xf numFmtId="3" fontId="17" fillId="3" borderId="2" xfId="0" applyNumberFormat="1" applyFont="1" applyFill="1" applyBorder="1" applyAlignment="1">
      <alignment horizontal="center" vertical="center"/>
    </xf>
    <xf numFmtId="3" fontId="26" fillId="0" borderId="0" xfId="0" applyNumberFormat="1" applyFont="1" applyAlignment="1"/>
    <xf numFmtId="165" fontId="8" fillId="3" borderId="1" xfId="2" applyNumberFormat="1" applyFont="1" applyFill="1" applyBorder="1" applyAlignment="1">
      <alignment vertical="center"/>
    </xf>
    <xf numFmtId="0" fontId="25" fillId="0" borderId="10" xfId="0" applyFont="1" applyBorder="1" applyAlignment="1">
      <alignment horizontal="center" vertical="top"/>
    </xf>
    <xf numFmtId="165" fontId="8" fillId="3" borderId="1" xfId="2" applyNumberFormat="1" applyFont="1" applyFill="1" applyBorder="1" applyAlignment="1">
      <alignment horizontal="center" vertical="center"/>
    </xf>
    <xf numFmtId="165" fontId="13" fillId="11" borderId="1" xfId="2" applyNumberFormat="1" applyFont="1" applyFill="1" applyBorder="1" applyAlignment="1"/>
    <xf numFmtId="0" fontId="11" fillId="11" borderId="1" xfId="2" applyNumberFormat="1" applyFont="1" applyFill="1" applyBorder="1" applyAlignment="1">
      <alignment horizontal="center" vertical="center"/>
    </xf>
    <xf numFmtId="3" fontId="11" fillId="11" borderId="1" xfId="2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165" fontId="14" fillId="3" borderId="1" xfId="2" applyNumberFormat="1" applyFont="1" applyFill="1" applyBorder="1" applyAlignment="1">
      <alignment horizontal="center" vertical="center"/>
    </xf>
    <xf numFmtId="165" fontId="14" fillId="3" borderId="1" xfId="2" applyNumberFormat="1" applyFont="1" applyFill="1" applyBorder="1" applyAlignment="1">
      <alignment horizontal="center"/>
    </xf>
    <xf numFmtId="0" fontId="0" fillId="0" borderId="0" xfId="0" applyFont="1" applyAlignment="1"/>
    <xf numFmtId="165" fontId="10" fillId="3" borderId="1" xfId="2" applyNumberFormat="1" applyFont="1" applyFill="1" applyBorder="1" applyAlignment="1">
      <alignment horizontal="right"/>
    </xf>
    <xf numFmtId="165" fontId="3" fillId="3" borderId="1" xfId="2" applyNumberFormat="1" applyFont="1" applyFill="1" applyBorder="1" applyAlignment="1">
      <alignment horizontal="center" vertical="center"/>
    </xf>
    <xf numFmtId="165" fontId="3" fillId="8" borderId="9" xfId="2" applyNumberFormat="1" applyFont="1" applyFill="1" applyBorder="1" applyAlignment="1">
      <alignment horizontal="center" vertical="center"/>
    </xf>
    <xf numFmtId="166" fontId="3" fillId="8" borderId="9" xfId="2" applyNumberFormat="1" applyFont="1" applyFill="1" applyBorder="1" applyAlignment="1">
      <alignment horizontal="center" vertical="center"/>
    </xf>
    <xf numFmtId="165" fontId="5" fillId="2" borderId="0" xfId="2" applyNumberFormat="1" applyFont="1" applyFill="1" applyAlignment="1">
      <alignment horizontal="center"/>
    </xf>
    <xf numFmtId="165" fontId="5" fillId="2" borderId="0" xfId="2" applyNumberFormat="1" applyFont="1" applyFill="1" applyBorder="1" applyAlignment="1">
      <alignment horizontal="center"/>
    </xf>
    <xf numFmtId="165" fontId="10" fillId="2" borderId="0" xfId="2" applyNumberFormat="1" applyFont="1" applyFill="1" applyAlignment="1">
      <alignment horizontal="center"/>
    </xf>
    <xf numFmtId="165" fontId="10" fillId="2" borderId="0" xfId="2" applyNumberFormat="1" applyFont="1" applyFill="1" applyBorder="1" applyAlignment="1">
      <alignment horizontal="center"/>
    </xf>
    <xf numFmtId="3" fontId="21" fillId="3" borderId="1" xfId="0" applyNumberFormat="1" applyFont="1" applyFill="1" applyBorder="1" applyAlignment="1">
      <alignment horizontal="center" vertical="center"/>
    </xf>
    <xf numFmtId="3" fontId="17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5" fontId="5" fillId="2" borderId="1" xfId="2" applyNumberFormat="1" applyFont="1" applyFill="1" applyBorder="1" applyAlignment="1">
      <alignment horizontal="center"/>
    </xf>
    <xf numFmtId="165" fontId="5" fillId="2" borderId="7" xfId="2" applyNumberFormat="1" applyFont="1" applyFill="1" applyBorder="1" applyAlignment="1">
      <alignment horizontal="center"/>
    </xf>
    <xf numFmtId="3" fontId="27" fillId="3" borderId="1" xfId="0" applyNumberFormat="1" applyFont="1" applyFill="1" applyBorder="1" applyAlignment="1">
      <alignment horizontal="center" vertical="center"/>
    </xf>
    <xf numFmtId="165" fontId="3" fillId="2" borderId="0" xfId="2" applyNumberFormat="1" applyFont="1" applyFill="1" applyAlignment="1">
      <alignment horizontal="center"/>
    </xf>
    <xf numFmtId="0" fontId="0" fillId="4" borderId="0" xfId="0" applyFont="1" applyFill="1" applyAlignment="1">
      <alignment horizontal="center"/>
    </xf>
    <xf numFmtId="3" fontId="17" fillId="0" borderId="2" xfId="0" applyNumberFormat="1" applyFont="1" applyFill="1" applyBorder="1" applyAlignment="1">
      <alignment horizontal="center" vertical="center"/>
    </xf>
    <xf numFmtId="3" fontId="21" fillId="4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3" fontId="22" fillId="0" borderId="1" xfId="0" applyNumberFormat="1" applyFont="1" applyFill="1" applyBorder="1" applyAlignment="1">
      <alignment horizontal="center" vertical="center"/>
    </xf>
    <xf numFmtId="3" fontId="17" fillId="0" borderId="4" xfId="0" applyNumberFormat="1" applyFont="1" applyFill="1" applyBorder="1" applyAlignment="1">
      <alignment horizontal="center" vertical="center"/>
    </xf>
    <xf numFmtId="3" fontId="17" fillId="0" borderId="3" xfId="0" applyNumberFormat="1" applyFont="1" applyFill="1" applyBorder="1" applyAlignment="1">
      <alignment horizontal="center" vertical="center"/>
    </xf>
    <xf numFmtId="3" fontId="19" fillId="6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24" fillId="7" borderId="0" xfId="0" applyFont="1" applyFill="1" applyAlignment="1">
      <alignment horizontal="center"/>
    </xf>
    <xf numFmtId="0" fontId="24" fillId="7" borderId="0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65" fontId="23" fillId="5" borderId="9" xfId="2" applyNumberFormat="1" applyFont="1" applyFill="1" applyBorder="1" applyAlignment="1">
      <alignment horizontal="left" vertical="center"/>
    </xf>
    <xf numFmtId="165" fontId="23" fillId="5" borderId="9" xfId="2" applyNumberFormat="1" applyFont="1" applyFill="1" applyBorder="1" applyAlignment="1">
      <alignment horizontal="center"/>
    </xf>
    <xf numFmtId="165" fontId="19" fillId="5" borderId="9" xfId="2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165" fontId="5" fillId="2" borderId="10" xfId="2" applyNumberFormat="1" applyFont="1" applyFill="1" applyBorder="1" applyAlignment="1">
      <alignment horizontal="center"/>
    </xf>
    <xf numFmtId="165" fontId="23" fillId="9" borderId="7" xfId="2" applyNumberFormat="1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165" fontId="3" fillId="3" borderId="1" xfId="2" applyNumberFormat="1" applyFont="1" applyFill="1" applyBorder="1" applyAlignment="1">
      <alignment horizontal="left"/>
    </xf>
    <xf numFmtId="165" fontId="3" fillId="3" borderId="1" xfId="2" applyNumberFormat="1" applyFont="1" applyFill="1" applyBorder="1" applyAlignment="1">
      <alignment horizontal="left" vertical="center"/>
    </xf>
    <xf numFmtId="165" fontId="3" fillId="3" borderId="1" xfId="2" applyNumberFormat="1" applyFont="1" applyFill="1" applyBorder="1" applyAlignment="1">
      <alignment horizontal="center" vertical="center"/>
    </xf>
    <xf numFmtId="165" fontId="8" fillId="0" borderId="1" xfId="2" applyNumberFormat="1" applyFont="1" applyFill="1" applyBorder="1" applyAlignment="1">
      <alignment horizontal="left" vertical="center" wrapText="1"/>
    </xf>
    <xf numFmtId="165" fontId="3" fillId="0" borderId="1" xfId="2" applyNumberFormat="1" applyFont="1" applyFill="1" applyBorder="1" applyAlignment="1">
      <alignment horizontal="right" vertical="center"/>
    </xf>
    <xf numFmtId="165" fontId="10" fillId="3" borderId="11" xfId="2" applyNumberFormat="1" applyFont="1" applyFill="1" applyBorder="1" applyAlignment="1">
      <alignment horizontal="center"/>
    </xf>
    <xf numFmtId="165" fontId="10" fillId="3" borderId="12" xfId="2" applyNumberFormat="1" applyFont="1" applyFill="1" applyBorder="1" applyAlignment="1">
      <alignment horizontal="center"/>
    </xf>
    <xf numFmtId="0" fontId="25" fillId="0" borderId="10" xfId="0" applyFont="1" applyBorder="1" applyAlignment="1">
      <alignment horizontal="center" vertical="top"/>
    </xf>
    <xf numFmtId="0" fontId="18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25" fillId="0" borderId="10" xfId="0" applyFont="1" applyFill="1" applyBorder="1" applyAlignment="1">
      <alignment horizontal="left" vertical="top"/>
    </xf>
    <xf numFmtId="165" fontId="3" fillId="2" borderId="1" xfId="2" applyNumberFormat="1" applyFont="1" applyFill="1" applyBorder="1" applyAlignment="1">
      <alignment horizontal="left"/>
    </xf>
    <xf numFmtId="165" fontId="3" fillId="2" borderId="1" xfId="2" applyNumberFormat="1" applyFont="1" applyFill="1" applyBorder="1" applyAlignment="1">
      <alignment horizontal="left" vertical="center"/>
    </xf>
    <xf numFmtId="165" fontId="3" fillId="3" borderId="1" xfId="2" applyNumberFormat="1" applyFont="1" applyFill="1" applyBorder="1" applyAlignment="1">
      <alignment horizontal="right" vertical="center"/>
    </xf>
    <xf numFmtId="165" fontId="3" fillId="3" borderId="10" xfId="2" applyNumberFormat="1" applyFont="1" applyFill="1" applyBorder="1" applyAlignment="1">
      <alignment horizontal="center" vertical="center"/>
    </xf>
    <xf numFmtId="0" fontId="25" fillId="0" borderId="5" xfId="0" applyFont="1" applyBorder="1" applyAlignment="1">
      <alignment horizontal="left" vertical="top"/>
    </xf>
    <xf numFmtId="0" fontId="25" fillId="0" borderId="1" xfId="0" applyFont="1" applyBorder="1" applyAlignment="1">
      <alignment horizontal="left" vertical="top"/>
    </xf>
    <xf numFmtId="165" fontId="3" fillId="0" borderId="1" xfId="2" applyNumberFormat="1" applyFont="1" applyFill="1" applyBorder="1" applyAlignment="1">
      <alignment horizontal="left"/>
    </xf>
    <xf numFmtId="165" fontId="8" fillId="3" borderId="1" xfId="2" applyNumberFormat="1" applyFont="1" applyFill="1" applyBorder="1" applyAlignment="1">
      <alignment horizontal="center" vertical="center"/>
    </xf>
    <xf numFmtId="165" fontId="10" fillId="3" borderId="10" xfId="2" applyNumberFormat="1" applyFont="1" applyFill="1" applyBorder="1" applyAlignment="1">
      <alignment horizontal="center"/>
    </xf>
    <xf numFmtId="165" fontId="8" fillId="3" borderId="2" xfId="2" applyNumberFormat="1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>
      <alignment horizontal="center" vertical="center"/>
    </xf>
    <xf numFmtId="3" fontId="17" fillId="3" borderId="2" xfId="0" applyNumberFormat="1" applyFont="1" applyFill="1" applyBorder="1" applyAlignment="1">
      <alignment horizontal="center" vertical="center"/>
    </xf>
    <xf numFmtId="3" fontId="17" fillId="3" borderId="3" xfId="0" applyNumberFormat="1" applyFont="1" applyFill="1" applyBorder="1" applyAlignment="1">
      <alignment horizontal="center" vertical="center"/>
    </xf>
    <xf numFmtId="165" fontId="3" fillId="0" borderId="1" xfId="2" applyNumberFormat="1" applyFont="1" applyFill="1" applyBorder="1" applyAlignment="1">
      <alignment horizontal="left" vertical="center"/>
    </xf>
    <xf numFmtId="165" fontId="23" fillId="9" borderId="10" xfId="2" applyNumberFormat="1" applyFont="1" applyFill="1" applyBorder="1" applyAlignment="1">
      <alignment horizontal="left"/>
    </xf>
    <xf numFmtId="165" fontId="23" fillId="9" borderId="5" xfId="2" applyNumberFormat="1" applyFont="1" applyFill="1" applyBorder="1" applyAlignment="1">
      <alignment horizontal="left"/>
    </xf>
    <xf numFmtId="3" fontId="17" fillId="3" borderId="4" xfId="0" applyNumberFormat="1" applyFont="1" applyFill="1" applyBorder="1" applyAlignment="1">
      <alignment horizontal="center" vertical="center"/>
    </xf>
    <xf numFmtId="165" fontId="23" fillId="9" borderId="1" xfId="2" applyNumberFormat="1" applyFont="1" applyFill="1" applyBorder="1" applyAlignment="1">
      <alignment horizontal="left"/>
    </xf>
    <xf numFmtId="165" fontId="8" fillId="3" borderId="1" xfId="2" applyNumberFormat="1" applyFont="1" applyFill="1" applyBorder="1" applyAlignment="1">
      <alignment horizontal="left" vertical="center"/>
    </xf>
    <xf numFmtId="165" fontId="3" fillId="3" borderId="7" xfId="2" applyNumberFormat="1" applyFont="1" applyFill="1" applyBorder="1" applyAlignment="1">
      <alignment horizontal="right" vertical="center"/>
    </xf>
    <xf numFmtId="165" fontId="3" fillId="3" borderId="5" xfId="2" applyNumberFormat="1" applyFont="1" applyFill="1" applyBorder="1" applyAlignment="1">
      <alignment horizontal="right" vertical="center"/>
    </xf>
    <xf numFmtId="0" fontId="25" fillId="0" borderId="10" xfId="0" applyFont="1" applyBorder="1" applyAlignment="1">
      <alignment horizontal="left" vertical="top"/>
    </xf>
    <xf numFmtId="165" fontId="7" fillId="3" borderId="1" xfId="2" applyNumberFormat="1" applyFont="1" applyFill="1" applyBorder="1" applyAlignment="1">
      <alignment horizontal="left" vertical="center" wrapText="1"/>
    </xf>
    <xf numFmtId="165" fontId="3" fillId="4" borderId="1" xfId="2" applyNumberFormat="1" applyFont="1" applyFill="1" applyBorder="1" applyAlignment="1">
      <alignment horizontal="center" vertical="center" wrapText="1"/>
    </xf>
    <xf numFmtId="165" fontId="7" fillId="3" borderId="1" xfId="2" applyNumberFormat="1" applyFont="1" applyFill="1" applyBorder="1" applyAlignment="1">
      <alignment horizontal="left" vertical="center"/>
    </xf>
    <xf numFmtId="165" fontId="7" fillId="3" borderId="1" xfId="3" applyNumberFormat="1" applyFont="1" applyFill="1" applyBorder="1" applyAlignment="1">
      <alignment horizontal="left" vertical="center"/>
    </xf>
    <xf numFmtId="165" fontId="23" fillId="5" borderId="1" xfId="2" applyNumberFormat="1" applyFont="1" applyFill="1" applyBorder="1" applyAlignment="1">
      <alignment horizontal="left" vertical="center"/>
    </xf>
    <xf numFmtId="165" fontId="23" fillId="5" borderId="1" xfId="2" applyNumberFormat="1" applyFont="1" applyFill="1" applyBorder="1" applyAlignment="1">
      <alignment horizontal="center" vertical="center"/>
    </xf>
    <xf numFmtId="3" fontId="17" fillId="0" borderId="2" xfId="0" applyNumberFormat="1" applyFont="1" applyFill="1" applyBorder="1" applyAlignment="1">
      <alignment horizontal="center" vertical="center"/>
    </xf>
    <xf numFmtId="3" fontId="17" fillId="0" borderId="3" xfId="0" applyNumberFormat="1" applyFont="1" applyFill="1" applyBorder="1" applyAlignment="1">
      <alignment horizontal="center" vertical="center"/>
    </xf>
    <xf numFmtId="165" fontId="7" fillId="0" borderId="2" xfId="2" applyNumberFormat="1" applyFont="1" applyFill="1" applyBorder="1" applyAlignment="1">
      <alignment horizontal="left" vertical="center" wrapText="1"/>
    </xf>
    <xf numFmtId="165" fontId="7" fillId="0" borderId="3" xfId="2" applyNumberFormat="1" applyFont="1" applyFill="1" applyBorder="1" applyAlignment="1">
      <alignment horizontal="left" vertical="center" wrapText="1"/>
    </xf>
    <xf numFmtId="165" fontId="7" fillId="0" borderId="1" xfId="2" applyNumberFormat="1" applyFont="1" applyFill="1" applyBorder="1" applyAlignment="1">
      <alignment horizontal="left" vertical="center" wrapText="1"/>
    </xf>
    <xf numFmtId="165" fontId="7" fillId="0" borderId="1" xfId="2" applyNumberFormat="1" applyFont="1" applyFill="1" applyBorder="1" applyAlignment="1">
      <alignment horizontal="left" vertical="center"/>
    </xf>
    <xf numFmtId="165" fontId="7" fillId="3" borderId="2" xfId="3" applyNumberFormat="1" applyFont="1" applyFill="1" applyBorder="1" applyAlignment="1">
      <alignment horizontal="left" vertical="center" wrapText="1"/>
    </xf>
    <xf numFmtId="165" fontId="7" fillId="3" borderId="3" xfId="3" applyNumberFormat="1" applyFont="1" applyFill="1" applyBorder="1" applyAlignment="1">
      <alignment horizontal="left" vertical="center" wrapText="1"/>
    </xf>
    <xf numFmtId="165" fontId="7" fillId="3" borderId="1" xfId="2" applyNumberFormat="1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/>
    </xf>
    <xf numFmtId="165" fontId="8" fillId="3" borderId="2" xfId="2" applyNumberFormat="1" applyFont="1" applyFill="1" applyBorder="1" applyAlignment="1">
      <alignment vertical="center"/>
    </xf>
    <xf numFmtId="165" fontId="8" fillId="3" borderId="4" xfId="2" applyNumberFormat="1" applyFont="1" applyFill="1" applyBorder="1" applyAlignment="1">
      <alignment vertical="center"/>
    </xf>
    <xf numFmtId="165" fontId="8" fillId="3" borderId="3" xfId="2" applyNumberFormat="1" applyFont="1" applyFill="1" applyBorder="1" applyAlignment="1">
      <alignment vertical="center"/>
    </xf>
    <xf numFmtId="0" fontId="8" fillId="0" borderId="0" xfId="0" applyFont="1" applyBorder="1"/>
    <xf numFmtId="166" fontId="5" fillId="2" borderId="0" xfId="2" applyNumberFormat="1" applyFont="1" applyFill="1"/>
    <xf numFmtId="0" fontId="19" fillId="6" borderId="7" xfId="0" applyFont="1" applyFill="1" applyBorder="1" applyAlignment="1">
      <alignment horizontal="right" vertical="center"/>
    </xf>
    <xf numFmtId="0" fontId="19" fillId="6" borderId="5" xfId="0" applyFont="1" applyFill="1" applyBorder="1" applyAlignment="1">
      <alignment horizontal="right" vertical="center"/>
    </xf>
  </cellXfs>
  <cellStyles count="6">
    <cellStyle name="Millares" xfId="1" builtinId="3"/>
    <cellStyle name="Millares 2" xfId="2"/>
    <cellStyle name="Millares 2 2" xfId="3"/>
    <cellStyle name="Normal" xfId="0" builtinId="0"/>
    <cellStyle name="Normal 2" xfId="4"/>
    <cellStyle name="Normal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1514475</xdr:colOff>
      <xdr:row>0</xdr:row>
      <xdr:rowOff>180975</xdr:rowOff>
    </xdr:from>
    <xdr:ext cx="5511859" cy="1419225"/>
    <xdr:sp macro="" textlink="">
      <xdr:nvSpPr>
        <xdr:cNvPr id="2" name="1 CuadroTexto"/>
        <xdr:cNvSpPr txBox="1"/>
      </xdr:nvSpPr>
      <xdr:spPr>
        <a:xfrm>
          <a:off x="1476375" y="180975"/>
          <a:ext cx="553402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800" b="1">
              <a:solidFill>
                <a:schemeClr val="bg1"/>
              </a:solidFill>
            </a:rPr>
            <a:t>Postulantes por Unidades</a:t>
          </a:r>
          <a:r>
            <a:rPr lang="es-PY" sz="2800" b="1" baseline="0">
              <a:solidFill>
                <a:schemeClr val="bg1"/>
              </a:solidFill>
            </a:rPr>
            <a:t> Académicas</a:t>
          </a:r>
          <a:endParaRPr lang="es-PY" sz="2800" b="1">
            <a:solidFill>
              <a:schemeClr val="bg1"/>
            </a:solidFill>
          </a:endParaRPr>
        </a:p>
        <a:p>
          <a:pPr algn="ctr"/>
          <a:r>
            <a:rPr lang="es-PY" sz="28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  <xdr:twoCellAnchor editAs="oneCell">
    <xdr:from>
      <xdr:col>0</xdr:col>
      <xdr:colOff>207645</xdr:colOff>
      <xdr:row>0</xdr:row>
      <xdr:rowOff>85726</xdr:rowOff>
    </xdr:from>
    <xdr:to>
      <xdr:col>0</xdr:col>
      <xdr:colOff>1900616</xdr:colOff>
      <xdr:row>4</xdr:row>
      <xdr:rowOff>390526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200025" y="85726"/>
          <a:ext cx="1647825" cy="1638300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1307145</xdr:colOff>
      <xdr:row>0</xdr:row>
      <xdr:rowOff>194371</xdr:rowOff>
    </xdr:from>
    <xdr:ext cx="5496922" cy="1330891"/>
    <xdr:sp macro="" textlink="">
      <xdr:nvSpPr>
        <xdr:cNvPr id="2" name="1 CuadroTexto"/>
        <xdr:cNvSpPr txBox="1"/>
      </xdr:nvSpPr>
      <xdr:spPr>
        <a:xfrm>
          <a:off x="3147932" y="194371"/>
          <a:ext cx="5496922" cy="1330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400" b="1">
              <a:solidFill>
                <a:schemeClr val="bg1"/>
              </a:solidFill>
            </a:rPr>
            <a:t>Postulantes por Unidad</a:t>
          </a:r>
          <a:r>
            <a:rPr lang="es-PY" sz="2400" b="1" baseline="0">
              <a:solidFill>
                <a:schemeClr val="bg1"/>
              </a:solidFill>
            </a:rPr>
            <a:t> Académica,</a:t>
          </a:r>
          <a:r>
            <a:rPr lang="es-PY" sz="2400" b="1">
              <a:solidFill>
                <a:schemeClr val="bg1"/>
              </a:solidFill>
            </a:rPr>
            <a:t> Carreras y Sedes</a:t>
          </a:r>
        </a:p>
        <a:p>
          <a:pPr algn="ctr"/>
          <a:r>
            <a:rPr lang="es-PY" sz="24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  <xdr:twoCellAnchor editAs="oneCell">
    <xdr:from>
      <xdr:col>0</xdr:col>
      <xdr:colOff>208853</xdr:colOff>
      <xdr:row>0</xdr:row>
      <xdr:rowOff>67079</xdr:rowOff>
    </xdr:from>
    <xdr:to>
      <xdr:col>0</xdr:col>
      <xdr:colOff>1824354</xdr:colOff>
      <xdr:row>4</xdr:row>
      <xdr:rowOff>323851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201233" y="67079"/>
          <a:ext cx="1570417" cy="1590272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435254</xdr:colOff>
      <xdr:row>0</xdr:row>
      <xdr:rowOff>130479</xdr:rowOff>
    </xdr:from>
    <xdr:ext cx="4832510" cy="1330891"/>
    <xdr:sp macro="" textlink="">
      <xdr:nvSpPr>
        <xdr:cNvPr id="2" name="1 CuadroTexto"/>
        <xdr:cNvSpPr txBox="1"/>
      </xdr:nvSpPr>
      <xdr:spPr>
        <a:xfrm>
          <a:off x="1448714" y="130479"/>
          <a:ext cx="4847311" cy="1330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600" b="1">
              <a:solidFill>
                <a:schemeClr val="bg1"/>
              </a:solidFill>
            </a:rPr>
            <a:t>Postulantes por Carreras y Sedes</a:t>
          </a:r>
        </a:p>
        <a:p>
          <a:pPr algn="ctr"/>
          <a:r>
            <a:rPr lang="es-PY" sz="2600" b="1">
              <a:solidFill>
                <a:schemeClr val="bg1"/>
              </a:solidFill>
            </a:rPr>
            <a:t>Periodo 2021 - 2025</a:t>
          </a:r>
        </a:p>
        <a:p>
          <a:pPr algn="ctr"/>
          <a:endParaRPr lang="es-PY" sz="2600" b="1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0</xdr:col>
      <xdr:colOff>85725</xdr:colOff>
      <xdr:row>0</xdr:row>
      <xdr:rowOff>59458</xdr:rowOff>
    </xdr:from>
    <xdr:to>
      <xdr:col>1</xdr:col>
      <xdr:colOff>276225</xdr:colOff>
      <xdr:row>0</xdr:row>
      <xdr:rowOff>1523928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85725" y="67078"/>
          <a:ext cx="1457325" cy="1456921"/>
        </a:xfrm>
        <a:prstGeom prst="ellipse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ANUARIO%202025/Base_%20UNA%20_2007_2020-%2012-12-2024%20(FINAL)%20(MODIFICADO%20LAL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matriz"/>
      <sheetName val="DER_OK"/>
      <sheetName val="medicina OK"/>
      <sheetName val="ingeniería ok"/>
      <sheetName val="Economía ok"/>
      <sheetName val="Odontología ok"/>
      <sheetName val="Químicaok"/>
      <sheetName val="Filosofía ok"/>
      <sheetName val="Agronomía ok"/>
      <sheetName val="Veterinaria ok"/>
      <sheetName val="Arquitectura ok"/>
      <sheetName val="Politécnica ok"/>
      <sheetName val="FACEN ok "/>
      <sheetName val="FENOB OK"/>
      <sheetName val="FACSO ok "/>
      <sheetName val="Hoja1 (2)"/>
      <sheetName val="Post-Central + Interior"/>
      <sheetName val="Ingre-Central + Interior "/>
      <sheetName val="Matri-Central + Interior "/>
      <sheetName val="Egresados-Central + Interior "/>
      <sheetName val="TOTALES_GENERALES_UNA"/>
      <sheetName val="13.CEPB "/>
      <sheetName val="14.IPT"/>
      <sheetName val="15.CETUNA"/>
      <sheetName val="Postulantes_Colegios"/>
      <sheetName val="Ingresantes_Colegios"/>
      <sheetName val="sub-área Matriculados 2012"/>
      <sheetName val="Matriculados - Colegios"/>
      <sheetName val="Egresados - Colegios"/>
      <sheetName val="sub-área Matriculados"/>
      <sheetName val="área de conoc"/>
      <sheetName val="sub-área Egresados"/>
      <sheetName val="área de conoc egre"/>
      <sheetName val="REGISTROS DE CAMBIOS"/>
      <sheetName val="REGISTROS DE CAMBIOS (11-jul)"/>
      <sheetName val="Egresados (historico)"/>
      <sheetName val="Hoja2"/>
      <sheetName val="Hoja3"/>
      <sheetName val="Hoja4"/>
      <sheetName val="Hoja5"/>
    </sheetNames>
    <sheetDataSet>
      <sheetData sheetId="0"/>
      <sheetData sheetId="1"/>
      <sheetData sheetId="2">
        <row r="13">
          <cell r="AO13">
            <v>19</v>
          </cell>
          <cell r="AP13">
            <v>27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view="pageBreakPreview" zoomScale="120" zoomScaleNormal="100" zoomScaleSheetLayoutView="120" workbookViewId="0">
      <selection activeCell="K19" sqref="K19"/>
    </sheetView>
  </sheetViews>
  <sheetFormatPr baseColWidth="10" defaultColWidth="11.44140625" defaultRowHeight="13.8" x14ac:dyDescent="0.25"/>
  <cols>
    <col min="1" max="1" width="36.88671875" style="18" customWidth="1"/>
    <col min="2" max="2" width="9.6640625" style="54" customWidth="1"/>
    <col min="3" max="3" width="10.6640625" style="55" customWidth="1"/>
    <col min="4" max="4" width="9" style="55" customWidth="1"/>
    <col min="5" max="6" width="10.109375" style="55" customWidth="1"/>
    <col min="7" max="7" width="10.5546875" style="55" customWidth="1"/>
    <col min="8" max="8" width="12.109375" style="54" customWidth="1"/>
    <col min="9" max="16384" width="11.44140625" style="18"/>
  </cols>
  <sheetData>
    <row r="1" spans="1:13" ht="27" customHeight="1" x14ac:dyDescent="0.25">
      <c r="A1" s="83"/>
      <c r="B1" s="83"/>
      <c r="C1" s="83"/>
      <c r="D1" s="83"/>
      <c r="E1" s="83"/>
      <c r="F1" s="83"/>
      <c r="G1" s="83"/>
      <c r="H1" s="83"/>
    </row>
    <row r="2" spans="1:13" ht="14.25" customHeight="1" x14ac:dyDescent="0.25">
      <c r="A2" s="83"/>
      <c r="B2" s="83"/>
      <c r="C2" s="83"/>
      <c r="D2" s="83"/>
      <c r="E2" s="83"/>
      <c r="F2" s="83"/>
      <c r="G2" s="83"/>
      <c r="H2" s="83"/>
    </row>
    <row r="3" spans="1:13" ht="14.25" customHeight="1" x14ac:dyDescent="0.25">
      <c r="A3" s="83"/>
      <c r="B3" s="83"/>
      <c r="C3" s="83"/>
      <c r="D3" s="83"/>
      <c r="E3" s="83"/>
      <c r="F3" s="83"/>
      <c r="G3" s="83"/>
      <c r="H3" s="83"/>
    </row>
    <row r="4" spans="1:13" ht="50.1" customHeight="1" x14ac:dyDescent="0.25">
      <c r="A4" s="83"/>
      <c r="B4" s="83"/>
      <c r="C4" s="83"/>
      <c r="D4" s="83"/>
      <c r="E4" s="83"/>
      <c r="F4" s="83"/>
      <c r="G4" s="83"/>
      <c r="H4" s="83"/>
    </row>
    <row r="5" spans="1:13" ht="50.1" customHeight="1" x14ac:dyDescent="0.25">
      <c r="A5" s="84"/>
      <c r="B5" s="84"/>
      <c r="C5" s="84"/>
      <c r="D5" s="84"/>
      <c r="E5" s="84"/>
      <c r="F5" s="84"/>
      <c r="G5" s="84"/>
      <c r="H5" s="84"/>
    </row>
    <row r="7" spans="1:13" ht="21.75" customHeight="1" x14ac:dyDescent="0.25">
      <c r="A7" s="85" t="s">
        <v>110</v>
      </c>
      <c r="B7" s="85"/>
      <c r="C7" s="85"/>
      <c r="D7" s="85"/>
      <c r="E7" s="85"/>
      <c r="F7" s="85"/>
      <c r="G7" s="85"/>
      <c r="H7" s="85"/>
    </row>
    <row r="8" spans="1:13" ht="19.8" customHeight="1" x14ac:dyDescent="0.3">
      <c r="A8" s="86" t="s">
        <v>111</v>
      </c>
      <c r="B8" s="87" t="s">
        <v>95</v>
      </c>
      <c r="C8" s="87"/>
      <c r="D8" s="87"/>
      <c r="E8" s="87"/>
      <c r="F8" s="87"/>
      <c r="G8" s="88" t="s">
        <v>112</v>
      </c>
      <c r="H8" s="88" t="s">
        <v>113</v>
      </c>
    </row>
    <row r="9" spans="1:13" ht="21.75" customHeight="1" x14ac:dyDescent="0.25">
      <c r="A9" s="86" t="s">
        <v>51</v>
      </c>
      <c r="B9" s="19">
        <v>2021</v>
      </c>
      <c r="C9" s="19">
        <v>2022</v>
      </c>
      <c r="D9" s="19">
        <v>2023</v>
      </c>
      <c r="E9" s="19">
        <v>2024</v>
      </c>
      <c r="F9" s="19">
        <v>2025</v>
      </c>
      <c r="G9" s="88"/>
      <c r="H9" s="88"/>
      <c r="M9" s="18" t="s">
        <v>114</v>
      </c>
    </row>
    <row r="10" spans="1:13" ht="20.100000000000001" customHeight="1" x14ac:dyDescent="0.25">
      <c r="A10" s="20" t="s">
        <v>115</v>
      </c>
      <c r="B10" s="21">
        <v>1872</v>
      </c>
      <c r="C10" s="21">
        <v>1732</v>
      </c>
      <c r="D10" s="21">
        <v>1587</v>
      </c>
      <c r="E10" s="21">
        <v>1611</v>
      </c>
      <c r="F10" s="22">
        <v>1434</v>
      </c>
      <c r="G10" s="23">
        <f>AVERAGE(B10:F10)</f>
        <v>1647.2</v>
      </c>
      <c r="H10" s="24">
        <f>+(G10/$G$24)*100</f>
        <v>12.137288710081496</v>
      </c>
      <c r="J10" s="149"/>
    </row>
    <row r="11" spans="1:13" ht="20.100000000000001" customHeight="1" x14ac:dyDescent="0.25">
      <c r="A11" s="20" t="s">
        <v>116</v>
      </c>
      <c r="B11" s="23">
        <v>1028</v>
      </c>
      <c r="C11" s="23">
        <v>1519</v>
      </c>
      <c r="D11" s="23">
        <v>1132</v>
      </c>
      <c r="E11" s="23">
        <v>1167</v>
      </c>
      <c r="F11" s="25">
        <v>857</v>
      </c>
      <c r="G11" s="23">
        <f t="shared" ref="G11:G23" si="0">AVERAGE(B11:F11)</f>
        <v>1140.5999999999999</v>
      </c>
      <c r="H11" s="24">
        <f t="shared" ref="H11:H24" si="1">+(G11/$G$24)*100</f>
        <v>8.404438746186834</v>
      </c>
      <c r="J11" s="149"/>
    </row>
    <row r="12" spans="1:13" ht="20.100000000000001" customHeight="1" x14ac:dyDescent="0.25">
      <c r="A12" s="20" t="s">
        <v>117</v>
      </c>
      <c r="B12" s="21">
        <v>765</v>
      </c>
      <c r="C12" s="21">
        <v>1000</v>
      </c>
      <c r="D12" s="21">
        <v>441</v>
      </c>
      <c r="E12" s="21">
        <v>1162</v>
      </c>
      <c r="F12" s="22">
        <v>1135</v>
      </c>
      <c r="G12" s="23">
        <f t="shared" si="0"/>
        <v>900.6</v>
      </c>
      <c r="H12" s="24">
        <f t="shared" si="1"/>
        <v>6.6360139705557275</v>
      </c>
      <c r="J12" s="149"/>
    </row>
    <row r="13" spans="1:13" ht="20.100000000000001" customHeight="1" x14ac:dyDescent="0.25">
      <c r="A13" s="20" t="s">
        <v>118</v>
      </c>
      <c r="B13" s="21">
        <v>2993</v>
      </c>
      <c r="C13" s="21">
        <v>2826</v>
      </c>
      <c r="D13" s="21">
        <v>2024</v>
      </c>
      <c r="E13" s="21">
        <v>2321</v>
      </c>
      <c r="F13" s="22">
        <v>1821</v>
      </c>
      <c r="G13" s="23">
        <f t="shared" si="0"/>
        <v>2397</v>
      </c>
      <c r="H13" s="24">
        <f t="shared" si="1"/>
        <v>17.662142446615679</v>
      </c>
      <c r="J13" s="149"/>
    </row>
    <row r="14" spans="1:13" ht="20.100000000000001" customHeight="1" x14ac:dyDescent="0.25">
      <c r="A14" s="20" t="s">
        <v>119</v>
      </c>
      <c r="B14" s="21">
        <v>127</v>
      </c>
      <c r="C14" s="21">
        <v>109</v>
      </c>
      <c r="D14" s="21">
        <v>131</v>
      </c>
      <c r="E14" s="21">
        <v>136</v>
      </c>
      <c r="F14" s="22">
        <v>137</v>
      </c>
      <c r="G14" s="23">
        <f t="shared" si="0"/>
        <v>128</v>
      </c>
      <c r="H14" s="24">
        <f t="shared" si="1"/>
        <v>0.94315988033659026</v>
      </c>
      <c r="J14" s="149"/>
    </row>
    <row r="15" spans="1:13" ht="20.100000000000001" customHeight="1" x14ac:dyDescent="0.25">
      <c r="A15" s="20" t="s">
        <v>120</v>
      </c>
      <c r="B15" s="21">
        <v>630</v>
      </c>
      <c r="C15" s="21">
        <v>573</v>
      </c>
      <c r="D15" s="21">
        <v>517</v>
      </c>
      <c r="E15" s="21">
        <v>470</v>
      </c>
      <c r="F15" s="22">
        <v>582</v>
      </c>
      <c r="G15" s="23">
        <f t="shared" si="0"/>
        <v>554.4</v>
      </c>
      <c r="H15" s="24">
        <f t="shared" si="1"/>
        <v>4.0850612317078561</v>
      </c>
      <c r="J15" s="149"/>
    </row>
    <row r="16" spans="1:13" ht="20.100000000000001" customHeight="1" x14ac:dyDescent="0.25">
      <c r="A16" s="26" t="s">
        <v>121</v>
      </c>
      <c r="B16" s="21">
        <v>1212</v>
      </c>
      <c r="C16" s="21">
        <v>1421</v>
      </c>
      <c r="D16" s="21">
        <v>1530</v>
      </c>
      <c r="E16" s="21">
        <v>1185</v>
      </c>
      <c r="F16" s="22">
        <v>904</v>
      </c>
      <c r="G16" s="23">
        <f t="shared" si="0"/>
        <v>1250.4000000000001</v>
      </c>
      <c r="H16" s="24">
        <f t="shared" si="1"/>
        <v>9.2134930810380666</v>
      </c>
      <c r="J16" s="149"/>
    </row>
    <row r="17" spans="1:10" ht="20.100000000000001" customHeight="1" x14ac:dyDescent="0.25">
      <c r="A17" s="20" t="s">
        <v>122</v>
      </c>
      <c r="B17" s="21">
        <v>742</v>
      </c>
      <c r="C17" s="21">
        <v>985</v>
      </c>
      <c r="D17" s="21">
        <v>1065</v>
      </c>
      <c r="E17" s="21">
        <v>1103</v>
      </c>
      <c r="F17" s="22">
        <v>804</v>
      </c>
      <c r="G17" s="23">
        <f t="shared" si="0"/>
        <v>939.8</v>
      </c>
      <c r="H17" s="24">
        <f t="shared" si="1"/>
        <v>6.924856683908807</v>
      </c>
      <c r="J17" s="149"/>
    </row>
    <row r="18" spans="1:10" ht="20.100000000000001" customHeight="1" x14ac:dyDescent="0.25">
      <c r="A18" s="20" t="s">
        <v>123</v>
      </c>
      <c r="B18" s="21">
        <v>573</v>
      </c>
      <c r="C18" s="21">
        <v>501</v>
      </c>
      <c r="D18" s="21">
        <v>536</v>
      </c>
      <c r="E18" s="21">
        <v>529</v>
      </c>
      <c r="F18" s="22">
        <v>441</v>
      </c>
      <c r="G18" s="23">
        <f t="shared" si="0"/>
        <v>516</v>
      </c>
      <c r="H18" s="24">
        <f t="shared" si="1"/>
        <v>3.8021132676068792</v>
      </c>
      <c r="J18" s="149"/>
    </row>
    <row r="19" spans="1:10" ht="20.100000000000001" customHeight="1" x14ac:dyDescent="0.25">
      <c r="A19" s="27" t="s">
        <v>124</v>
      </c>
      <c r="B19" s="21">
        <v>1649</v>
      </c>
      <c r="C19" s="21">
        <v>1075</v>
      </c>
      <c r="D19" s="21">
        <v>1601</v>
      </c>
      <c r="E19" s="21">
        <v>1299</v>
      </c>
      <c r="F19" s="22">
        <v>1283</v>
      </c>
      <c r="G19" s="23">
        <f t="shared" si="0"/>
        <v>1381.4</v>
      </c>
      <c r="H19" s="24">
        <f t="shared" si="1"/>
        <v>10.178758271070047</v>
      </c>
      <c r="J19" s="149"/>
    </row>
    <row r="20" spans="1:10" ht="20.100000000000001" customHeight="1" x14ac:dyDescent="0.25">
      <c r="A20" s="26" t="s">
        <v>125</v>
      </c>
      <c r="B20" s="21">
        <v>2283</v>
      </c>
      <c r="C20" s="21">
        <v>991</v>
      </c>
      <c r="D20" s="21">
        <v>2059</v>
      </c>
      <c r="E20" s="21">
        <v>1358</v>
      </c>
      <c r="F20" s="22">
        <v>1647</v>
      </c>
      <c r="G20" s="23">
        <f t="shared" si="0"/>
        <v>1667.6</v>
      </c>
      <c r="H20" s="24">
        <f t="shared" si="1"/>
        <v>12.287604816010139</v>
      </c>
      <c r="J20" s="149"/>
    </row>
    <row r="21" spans="1:10" ht="23.25" customHeight="1" x14ac:dyDescent="0.25">
      <c r="A21" s="26" t="s">
        <v>126</v>
      </c>
      <c r="B21" s="21">
        <v>795</v>
      </c>
      <c r="C21" s="21">
        <v>477</v>
      </c>
      <c r="D21" s="21">
        <v>443</v>
      </c>
      <c r="E21" s="21">
        <v>530</v>
      </c>
      <c r="F21" s="22">
        <v>740</v>
      </c>
      <c r="G21" s="23">
        <f t="shared" si="0"/>
        <v>597</v>
      </c>
      <c r="H21" s="24">
        <f t="shared" si="1"/>
        <v>4.3989566293823774</v>
      </c>
      <c r="J21" s="149"/>
    </row>
    <row r="22" spans="1:10" ht="20.100000000000001" customHeight="1" x14ac:dyDescent="0.25">
      <c r="A22" s="26" t="s">
        <v>127</v>
      </c>
      <c r="B22" s="21">
        <v>176</v>
      </c>
      <c r="C22" s="21">
        <v>251</v>
      </c>
      <c r="D22" s="21">
        <v>322</v>
      </c>
      <c r="E22" s="21">
        <v>375</v>
      </c>
      <c r="F22" s="22">
        <v>356</v>
      </c>
      <c r="G22" s="23">
        <f t="shared" si="0"/>
        <v>296</v>
      </c>
      <c r="H22" s="24">
        <f t="shared" si="1"/>
        <v>2.1810572232783647</v>
      </c>
      <c r="J22" s="149"/>
    </row>
    <row r="23" spans="1:10" ht="20.100000000000001" customHeight="1" x14ac:dyDescent="0.25">
      <c r="A23" s="26" t="s">
        <v>128</v>
      </c>
      <c r="B23" s="21">
        <v>190</v>
      </c>
      <c r="C23" s="21">
        <v>166</v>
      </c>
      <c r="D23" s="21">
        <v>139</v>
      </c>
      <c r="E23" s="21">
        <v>142</v>
      </c>
      <c r="F23" s="22">
        <v>140</v>
      </c>
      <c r="G23" s="23">
        <f t="shared" si="0"/>
        <v>155.4</v>
      </c>
      <c r="H23" s="24">
        <f t="shared" si="1"/>
        <v>1.1450550422211416</v>
      </c>
      <c r="J23" s="149"/>
    </row>
    <row r="24" spans="1:10" ht="18" customHeight="1" x14ac:dyDescent="0.25">
      <c r="A24" s="28" t="s">
        <v>152</v>
      </c>
      <c r="B24" s="52">
        <v>15035</v>
      </c>
      <c r="C24" s="52">
        <v>13626</v>
      </c>
      <c r="D24" s="52">
        <v>13527</v>
      </c>
      <c r="E24" s="52">
        <v>13388</v>
      </c>
      <c r="F24" s="52">
        <f>+SUM(F10:F23)</f>
        <v>12281</v>
      </c>
      <c r="G24" s="52">
        <f>AVERAGE(B24:F24)</f>
        <v>13571.4</v>
      </c>
      <c r="H24" s="53">
        <f t="shared" si="1"/>
        <v>100</v>
      </c>
      <c r="J24" s="149"/>
    </row>
    <row r="25" spans="1:10" x14ac:dyDescent="0.25">
      <c r="A25" s="148" t="s">
        <v>153</v>
      </c>
      <c r="C25" s="54"/>
      <c r="D25" s="54"/>
      <c r="E25" s="54"/>
      <c r="F25" s="54"/>
      <c r="G25" s="54"/>
    </row>
    <row r="26" spans="1:10" x14ac:dyDescent="0.25">
      <c r="A26" s="29"/>
      <c r="C26" s="54"/>
      <c r="D26" s="54"/>
      <c r="E26" s="54"/>
      <c r="F26" s="54"/>
      <c r="G26" s="54"/>
    </row>
    <row r="27" spans="1:10" x14ac:dyDescent="0.25">
      <c r="A27" s="29"/>
      <c r="C27" s="54"/>
      <c r="D27" s="54"/>
      <c r="E27" s="54"/>
      <c r="F27" s="54"/>
    </row>
    <row r="28" spans="1:10" s="30" customFormat="1" ht="13.2" x14ac:dyDescent="0.25">
      <c r="B28" s="56"/>
      <c r="C28" s="57"/>
      <c r="D28" s="57"/>
      <c r="E28" s="57"/>
      <c r="F28" s="57"/>
      <c r="G28" s="57"/>
      <c r="H28" s="56"/>
    </row>
  </sheetData>
  <mergeCells count="6">
    <mergeCell ref="A1:H5"/>
    <mergeCell ref="A7:H7"/>
    <mergeCell ref="A8:A9"/>
    <mergeCell ref="B8:F8"/>
    <mergeCell ref="G8:G9"/>
    <mergeCell ref="H8:H9"/>
  </mergeCells>
  <printOptions horizontalCentered="1"/>
  <pageMargins left="0.70866141732283472" right="0.51181102362204722" top="0.35433070866141736" bottom="0" header="0.59055118110236227" footer="1.0236220472440944"/>
  <pageSetup paperSize="5" scale="70" fitToHeight="30" orientation="portrait" r:id="rId1"/>
  <headerFooter>
    <oddFooter>&amp;L&amp;D</oddFooter>
  </headerFooter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"/>
  <sheetViews>
    <sheetView view="pageBreakPreview" zoomScale="110" zoomScaleNormal="89" zoomScaleSheetLayoutView="110" workbookViewId="0">
      <selection activeCell="G13" sqref="G13"/>
    </sheetView>
  </sheetViews>
  <sheetFormatPr baseColWidth="10" defaultColWidth="11.44140625" defaultRowHeight="13.8" x14ac:dyDescent="0.25"/>
  <cols>
    <col min="1" max="1" width="26.88671875" style="18" customWidth="1"/>
    <col min="2" max="2" width="25.5546875" style="18" customWidth="1"/>
    <col min="3" max="7" width="16.5546875" style="54" customWidth="1"/>
    <col min="8" max="8" width="14.5546875" style="18" bestFit="1" customWidth="1"/>
    <col min="9" max="9" width="23.6640625" style="18" customWidth="1"/>
    <col min="10" max="10" width="3.6640625" style="18" customWidth="1"/>
    <col min="11" max="16384" width="11.44140625" style="18"/>
  </cols>
  <sheetData>
    <row r="1" spans="1:8" ht="27" customHeight="1" x14ac:dyDescent="0.25">
      <c r="A1" s="83"/>
      <c r="B1" s="83"/>
      <c r="C1" s="83"/>
      <c r="D1" s="83"/>
      <c r="E1" s="83"/>
      <c r="F1" s="83"/>
      <c r="G1" s="83"/>
    </row>
    <row r="2" spans="1:8" ht="14.25" customHeight="1" x14ac:dyDescent="0.25">
      <c r="A2" s="83"/>
      <c r="B2" s="83"/>
      <c r="C2" s="83"/>
      <c r="D2" s="83"/>
      <c r="E2" s="83"/>
      <c r="F2" s="83"/>
      <c r="G2" s="83"/>
    </row>
    <row r="3" spans="1:8" ht="14.25" customHeight="1" x14ac:dyDescent="0.25">
      <c r="A3" s="83"/>
      <c r="B3" s="83"/>
      <c r="C3" s="83"/>
      <c r="D3" s="83"/>
      <c r="E3" s="83"/>
      <c r="F3" s="83"/>
      <c r="G3" s="83"/>
    </row>
    <row r="4" spans="1:8" ht="50.1" customHeight="1" x14ac:dyDescent="0.25">
      <c r="A4" s="83"/>
      <c r="B4" s="83"/>
      <c r="C4" s="83"/>
      <c r="D4" s="83"/>
      <c r="E4" s="83"/>
      <c r="F4" s="83"/>
      <c r="G4" s="83"/>
    </row>
    <row r="5" spans="1:8" ht="50.1" customHeight="1" x14ac:dyDescent="0.25">
      <c r="A5" s="83"/>
      <c r="B5" s="83"/>
      <c r="C5" s="83"/>
      <c r="D5" s="83"/>
      <c r="E5" s="83"/>
      <c r="F5" s="83"/>
      <c r="G5" s="83"/>
    </row>
    <row r="6" spans="1:8" ht="14.25" customHeight="1" x14ac:dyDescent="0.45">
      <c r="A6" s="31"/>
      <c r="B6" s="31"/>
      <c r="C6" s="31"/>
      <c r="D6" s="31"/>
      <c r="E6" s="31"/>
      <c r="F6" s="31"/>
      <c r="G6" s="31"/>
    </row>
    <row r="7" spans="1:8" ht="15.6" x14ac:dyDescent="0.3">
      <c r="A7" s="124" t="s">
        <v>115</v>
      </c>
      <c r="B7" s="124"/>
      <c r="C7" s="124"/>
      <c r="D7" s="124"/>
      <c r="E7" s="124"/>
      <c r="F7" s="124"/>
      <c r="G7" s="124"/>
    </row>
    <row r="8" spans="1:8" ht="15.6" x14ac:dyDescent="0.3">
      <c r="A8" s="32" t="s">
        <v>129</v>
      </c>
      <c r="B8" s="32" t="s">
        <v>130</v>
      </c>
      <c r="C8" s="33">
        <v>2021</v>
      </c>
      <c r="D8" s="33">
        <v>2022</v>
      </c>
      <c r="E8" s="33">
        <v>2023</v>
      </c>
      <c r="F8" s="33">
        <v>2024</v>
      </c>
      <c r="G8" s="33">
        <v>2025</v>
      </c>
    </row>
    <row r="9" spans="1:8" ht="18" customHeight="1" x14ac:dyDescent="0.25">
      <c r="A9" s="113" t="s">
        <v>131</v>
      </c>
      <c r="B9" s="113"/>
      <c r="C9" s="58">
        <v>1301</v>
      </c>
      <c r="D9" s="58">
        <v>1218</v>
      </c>
      <c r="E9" s="58">
        <v>1098</v>
      </c>
      <c r="F9" s="58">
        <v>1183</v>
      </c>
      <c r="G9" s="58">
        <f>SUM(G10:G12)</f>
        <v>1044</v>
      </c>
    </row>
    <row r="10" spans="1:8" ht="18" customHeight="1" x14ac:dyDescent="0.25">
      <c r="A10" s="89" t="s">
        <v>132</v>
      </c>
      <c r="B10" s="2" t="s">
        <v>0</v>
      </c>
      <c r="C10" s="59">
        <v>1136</v>
      </c>
      <c r="D10" s="59">
        <v>1069</v>
      </c>
      <c r="E10" s="59">
        <v>1018</v>
      </c>
      <c r="F10" s="59">
        <v>1062</v>
      </c>
      <c r="G10" s="59">
        <v>959</v>
      </c>
    </row>
    <row r="11" spans="1:8" ht="18" customHeight="1" x14ac:dyDescent="0.25">
      <c r="A11" s="90"/>
      <c r="B11" s="2" t="s">
        <v>1</v>
      </c>
      <c r="C11" s="59">
        <v>90</v>
      </c>
      <c r="D11" s="59">
        <v>67</v>
      </c>
      <c r="E11" s="59">
        <v>34</v>
      </c>
      <c r="F11" s="59">
        <v>39</v>
      </c>
      <c r="G11" s="59">
        <v>30</v>
      </c>
    </row>
    <row r="12" spans="1:8" ht="18" customHeight="1" x14ac:dyDescent="0.25">
      <c r="A12" s="91"/>
      <c r="B12" s="2" t="s">
        <v>2</v>
      </c>
      <c r="C12" s="59">
        <v>75</v>
      </c>
      <c r="D12" s="59">
        <v>82</v>
      </c>
      <c r="E12" s="59">
        <v>46</v>
      </c>
      <c r="F12" s="59">
        <v>82</v>
      </c>
      <c r="G12" s="59">
        <v>55</v>
      </c>
    </row>
    <row r="13" spans="1:8" ht="18" customHeight="1" x14ac:dyDescent="0.25">
      <c r="A13" s="120" t="s">
        <v>133</v>
      </c>
      <c r="B13" s="120"/>
      <c r="C13" s="58">
        <v>571</v>
      </c>
      <c r="D13" s="58">
        <v>514</v>
      </c>
      <c r="E13" s="58">
        <v>489</v>
      </c>
      <c r="F13" s="58">
        <v>428</v>
      </c>
      <c r="G13" s="58">
        <f>SUM(G14:G22)</f>
        <v>390</v>
      </c>
    </row>
    <row r="14" spans="1:8" ht="18" customHeight="1" x14ac:dyDescent="0.25">
      <c r="A14" s="2" t="s">
        <v>53</v>
      </c>
      <c r="B14" s="125" t="s">
        <v>0</v>
      </c>
      <c r="C14" s="59">
        <v>101</v>
      </c>
      <c r="D14" s="59">
        <v>111</v>
      </c>
      <c r="E14" s="59">
        <v>75</v>
      </c>
      <c r="F14" s="59">
        <v>73</v>
      </c>
      <c r="G14" s="59">
        <f>+[1]DER_OK!$AO$13+[1]DER_OK!$AP$13</f>
        <v>46</v>
      </c>
      <c r="H14" s="34"/>
    </row>
    <row r="15" spans="1:8" ht="18" customHeight="1" x14ac:dyDescent="0.25">
      <c r="A15" s="2" t="s">
        <v>134</v>
      </c>
      <c r="B15" s="125"/>
      <c r="C15" s="59">
        <v>61</v>
      </c>
      <c r="D15" s="59">
        <v>50</v>
      </c>
      <c r="E15" s="59">
        <v>36</v>
      </c>
      <c r="F15" s="59">
        <v>36</v>
      </c>
      <c r="G15" s="59">
        <v>21</v>
      </c>
      <c r="H15" s="34"/>
    </row>
    <row r="16" spans="1:8" ht="18" customHeight="1" x14ac:dyDescent="0.25">
      <c r="A16" s="2" t="s">
        <v>47</v>
      </c>
      <c r="B16" s="125"/>
      <c r="C16" s="59">
        <v>80</v>
      </c>
      <c r="D16" s="59">
        <v>87</v>
      </c>
      <c r="E16" s="59">
        <v>90</v>
      </c>
      <c r="F16" s="59">
        <v>80</v>
      </c>
      <c r="G16" s="59">
        <v>76</v>
      </c>
      <c r="H16" s="34"/>
    </row>
    <row r="17" spans="1:8" ht="18" customHeight="1" x14ac:dyDescent="0.25">
      <c r="A17" s="2" t="s">
        <v>48</v>
      </c>
      <c r="B17" s="125"/>
      <c r="C17" s="59">
        <v>55</v>
      </c>
      <c r="D17" s="59">
        <v>44</v>
      </c>
      <c r="E17" s="59">
        <v>43</v>
      </c>
      <c r="F17" s="59">
        <v>39</v>
      </c>
      <c r="G17" s="59">
        <v>38</v>
      </c>
      <c r="H17" s="34"/>
    </row>
    <row r="18" spans="1:8" ht="18" customHeight="1" x14ac:dyDescent="0.25">
      <c r="A18" s="2" t="s">
        <v>64</v>
      </c>
      <c r="B18" s="125"/>
      <c r="C18" s="59">
        <v>39</v>
      </c>
      <c r="D18" s="59">
        <v>21</v>
      </c>
      <c r="E18" s="59">
        <v>39</v>
      </c>
      <c r="F18" s="59">
        <v>18</v>
      </c>
      <c r="G18" s="59">
        <v>28</v>
      </c>
      <c r="H18" s="34"/>
    </row>
    <row r="19" spans="1:8" ht="18" customHeight="1" x14ac:dyDescent="0.25">
      <c r="A19" s="2" t="s">
        <v>49</v>
      </c>
      <c r="B19" s="125"/>
      <c r="C19" s="59">
        <v>81</v>
      </c>
      <c r="D19" s="59">
        <v>75</v>
      </c>
      <c r="E19" s="59">
        <v>57</v>
      </c>
      <c r="F19" s="59">
        <v>60</v>
      </c>
      <c r="G19" s="59">
        <v>50</v>
      </c>
      <c r="H19" s="34"/>
    </row>
    <row r="20" spans="1:8" ht="18" customHeight="1" x14ac:dyDescent="0.25">
      <c r="A20" s="2" t="s">
        <v>135</v>
      </c>
      <c r="B20" s="125"/>
      <c r="C20" s="59">
        <v>59</v>
      </c>
      <c r="D20" s="59">
        <v>52</v>
      </c>
      <c r="E20" s="59">
        <v>56</v>
      </c>
      <c r="F20" s="59">
        <v>49</v>
      </c>
      <c r="G20" s="59">
        <v>55</v>
      </c>
      <c r="H20" s="34"/>
    </row>
    <row r="21" spans="1:8" ht="18" customHeight="1" x14ac:dyDescent="0.25">
      <c r="A21" s="2" t="s">
        <v>66</v>
      </c>
      <c r="B21" s="125"/>
      <c r="C21" s="59">
        <v>46</v>
      </c>
      <c r="D21" s="59">
        <v>33</v>
      </c>
      <c r="E21" s="59">
        <v>45</v>
      </c>
      <c r="F21" s="59">
        <v>32</v>
      </c>
      <c r="G21" s="59">
        <v>33</v>
      </c>
      <c r="H21" s="34"/>
    </row>
    <row r="22" spans="1:8" ht="18" customHeight="1" x14ac:dyDescent="0.25">
      <c r="A22" s="2" t="s">
        <v>51</v>
      </c>
      <c r="B22" s="125"/>
      <c r="C22" s="59">
        <v>49</v>
      </c>
      <c r="D22" s="59">
        <v>41</v>
      </c>
      <c r="E22" s="59">
        <v>48</v>
      </c>
      <c r="F22" s="59">
        <v>41</v>
      </c>
      <c r="G22" s="59">
        <v>43</v>
      </c>
      <c r="H22" s="34"/>
    </row>
    <row r="23" spans="1:8" s="35" customFormat="1" x14ac:dyDescent="0.25">
      <c r="A23" s="126" t="s">
        <v>136</v>
      </c>
      <c r="B23" s="127"/>
      <c r="C23" s="58">
        <f>+C9+C13</f>
        <v>1872</v>
      </c>
      <c r="D23" s="58">
        <f>+D9+D13</f>
        <v>1732</v>
      </c>
      <c r="E23" s="58">
        <f>+E9+E13</f>
        <v>1587</v>
      </c>
      <c r="F23" s="58">
        <f>+F9+F13</f>
        <v>1611</v>
      </c>
      <c r="G23" s="58">
        <f>+G9+G13</f>
        <v>1434</v>
      </c>
      <c r="H23" s="18"/>
    </row>
    <row r="24" spans="1:8" s="35" customFormat="1" ht="20.100000000000001" customHeight="1" x14ac:dyDescent="0.25">
      <c r="A24" s="128" t="s">
        <v>137</v>
      </c>
      <c r="B24" s="128"/>
      <c r="C24" s="128"/>
      <c r="D24" s="128"/>
      <c r="E24" s="128"/>
      <c r="F24" s="128"/>
      <c r="G24" s="128"/>
      <c r="H24" s="18"/>
    </row>
    <row r="25" spans="1:8" s="36" customFormat="1" ht="20.100000000000001" customHeight="1" x14ac:dyDescent="0.3">
      <c r="A25" s="124" t="s">
        <v>116</v>
      </c>
      <c r="B25" s="124"/>
      <c r="C25" s="124"/>
      <c r="D25" s="124"/>
      <c r="E25" s="124"/>
      <c r="F25" s="124"/>
      <c r="G25" s="124"/>
      <c r="H25" s="18"/>
    </row>
    <row r="26" spans="1:8" s="36" customFormat="1" ht="20.100000000000001" customHeight="1" x14ac:dyDescent="0.3">
      <c r="A26" s="32" t="s">
        <v>129</v>
      </c>
      <c r="B26" s="32" t="s">
        <v>130</v>
      </c>
      <c r="C26" s="33">
        <v>2021</v>
      </c>
      <c r="D26" s="33">
        <v>2022</v>
      </c>
      <c r="E26" s="33">
        <v>2023</v>
      </c>
      <c r="F26" s="33">
        <v>2024</v>
      </c>
      <c r="G26" s="33">
        <v>2025</v>
      </c>
      <c r="H26" s="18"/>
    </row>
    <row r="27" spans="1:8" s="36" customFormat="1" ht="20.100000000000001" customHeight="1" x14ac:dyDescent="0.25">
      <c r="A27" s="113" t="s">
        <v>131</v>
      </c>
      <c r="B27" s="113"/>
      <c r="C27" s="58">
        <v>892</v>
      </c>
      <c r="D27" s="58">
        <v>1239</v>
      </c>
      <c r="E27" s="58">
        <v>932</v>
      </c>
      <c r="F27" s="58">
        <v>959</v>
      </c>
      <c r="G27" s="58">
        <f>+G28+G29+G30+G31</f>
        <v>689</v>
      </c>
      <c r="H27" s="18"/>
    </row>
    <row r="28" spans="1:8" s="36" customFormat="1" ht="15.75" customHeight="1" x14ac:dyDescent="0.25">
      <c r="A28" s="99" t="s">
        <v>138</v>
      </c>
      <c r="B28" s="2" t="s">
        <v>3</v>
      </c>
      <c r="C28" s="59">
        <v>711</v>
      </c>
      <c r="D28" s="59">
        <v>1137</v>
      </c>
      <c r="E28" s="59">
        <v>757</v>
      </c>
      <c r="F28" s="59">
        <v>795</v>
      </c>
      <c r="G28" s="59">
        <v>539</v>
      </c>
      <c r="H28" s="18"/>
    </row>
    <row r="29" spans="1:8" s="36" customFormat="1" ht="15.75" customHeight="1" x14ac:dyDescent="0.25">
      <c r="A29" s="99"/>
      <c r="B29" s="2" t="s">
        <v>4</v>
      </c>
      <c r="C29" s="59">
        <v>70</v>
      </c>
      <c r="D29" s="59">
        <v>52</v>
      </c>
      <c r="E29" s="59">
        <v>86</v>
      </c>
      <c r="F29" s="59">
        <v>92</v>
      </c>
      <c r="G29" s="59">
        <v>99</v>
      </c>
      <c r="H29" s="18"/>
    </row>
    <row r="30" spans="1:8" s="36" customFormat="1" ht="26.25" customHeight="1" x14ac:dyDescent="0.25">
      <c r="A30" s="99"/>
      <c r="B30" s="13" t="s">
        <v>103</v>
      </c>
      <c r="C30" s="59">
        <v>95</v>
      </c>
      <c r="D30" s="59">
        <v>37</v>
      </c>
      <c r="E30" s="59">
        <v>61</v>
      </c>
      <c r="F30" s="59">
        <v>42</v>
      </c>
      <c r="G30" s="59">
        <v>42</v>
      </c>
      <c r="H30" s="18"/>
    </row>
    <row r="31" spans="1:8" s="36" customFormat="1" ht="18" customHeight="1" x14ac:dyDescent="0.25">
      <c r="A31" s="99"/>
      <c r="B31" s="2" t="s">
        <v>90</v>
      </c>
      <c r="C31" s="59">
        <v>16</v>
      </c>
      <c r="D31" s="59">
        <v>13</v>
      </c>
      <c r="E31" s="59">
        <v>28</v>
      </c>
      <c r="F31" s="59">
        <v>30</v>
      </c>
      <c r="G31" s="59">
        <v>9</v>
      </c>
      <c r="H31" s="18"/>
    </row>
    <row r="32" spans="1:8" s="36" customFormat="1" ht="18" customHeight="1" x14ac:dyDescent="0.25">
      <c r="A32" s="120" t="s">
        <v>133</v>
      </c>
      <c r="B32" s="120"/>
      <c r="C32" s="58">
        <v>136</v>
      </c>
      <c r="D32" s="58">
        <v>280</v>
      </c>
      <c r="E32" s="58">
        <v>200</v>
      </c>
      <c r="F32" s="58">
        <v>208</v>
      </c>
      <c r="G32" s="58">
        <f>+G33</f>
        <v>168</v>
      </c>
      <c r="H32" s="18"/>
    </row>
    <row r="33" spans="1:8" ht="18" customHeight="1" x14ac:dyDescent="0.25">
      <c r="A33" s="2" t="s">
        <v>84</v>
      </c>
      <c r="B33" s="2" t="s">
        <v>3</v>
      </c>
      <c r="C33" s="59">
        <v>136</v>
      </c>
      <c r="D33" s="59">
        <v>280</v>
      </c>
      <c r="E33" s="59">
        <v>200</v>
      </c>
      <c r="F33" s="59">
        <v>208</v>
      </c>
      <c r="G33" s="59">
        <v>168</v>
      </c>
    </row>
    <row r="34" spans="1:8" x14ac:dyDescent="0.25">
      <c r="A34" s="100" t="s">
        <v>136</v>
      </c>
      <c r="B34" s="100"/>
      <c r="C34" s="58">
        <f>+C27+C32</f>
        <v>1028</v>
      </c>
      <c r="D34" s="58">
        <f>+D27+D32</f>
        <v>1519</v>
      </c>
      <c r="E34" s="58">
        <f>+E27+E32</f>
        <v>1132</v>
      </c>
      <c r="F34" s="58">
        <f>+F27+F32</f>
        <v>1167</v>
      </c>
      <c r="G34" s="58">
        <f>+G27+G32</f>
        <v>857</v>
      </c>
    </row>
    <row r="35" spans="1:8" s="35" customFormat="1" ht="20.100000000000001" customHeight="1" x14ac:dyDescent="0.25">
      <c r="A35" s="103"/>
      <c r="B35" s="103"/>
      <c r="C35" s="103"/>
      <c r="D35" s="103"/>
      <c r="E35" s="103"/>
      <c r="F35" s="103"/>
      <c r="G35" s="103"/>
      <c r="H35" s="18"/>
    </row>
    <row r="36" spans="1:8" ht="18" customHeight="1" x14ac:dyDescent="0.3">
      <c r="A36" s="93" t="s">
        <v>117</v>
      </c>
      <c r="B36" s="121"/>
      <c r="C36" s="121"/>
      <c r="D36" s="121"/>
      <c r="E36" s="121"/>
      <c r="F36" s="121"/>
      <c r="G36" s="122"/>
    </row>
    <row r="37" spans="1:8" ht="18" customHeight="1" x14ac:dyDescent="0.3">
      <c r="A37" s="32" t="s">
        <v>129</v>
      </c>
      <c r="B37" s="32" t="s">
        <v>130</v>
      </c>
      <c r="C37" s="33">
        <v>2021</v>
      </c>
      <c r="D37" s="33">
        <v>2022</v>
      </c>
      <c r="E37" s="33">
        <v>2023</v>
      </c>
      <c r="F37" s="33">
        <v>2024</v>
      </c>
      <c r="G37" s="33">
        <v>2025</v>
      </c>
    </row>
    <row r="38" spans="1:8" ht="18" customHeight="1" x14ac:dyDescent="0.3">
      <c r="A38" s="107" t="s">
        <v>131</v>
      </c>
      <c r="B38" s="107"/>
      <c r="C38" s="58">
        <v>741</v>
      </c>
      <c r="D38" s="58">
        <f>+D39+D40+D41+D42+D43+D44+D45</f>
        <v>957</v>
      </c>
      <c r="E38" s="58">
        <f>+E39+E40+E41+E42+E43+E44+E45</f>
        <v>400</v>
      </c>
      <c r="F38" s="58">
        <f>+F39+F40+F41+F42+F43+F44+F45</f>
        <v>1121</v>
      </c>
      <c r="G38" s="58">
        <f>+G39+G40+G41+G42+G43+G44+G45</f>
        <v>1124</v>
      </c>
      <c r="H38" s="37"/>
    </row>
    <row r="39" spans="1:8" ht="18" customHeight="1" x14ac:dyDescent="0.3">
      <c r="A39" s="89" t="s">
        <v>138</v>
      </c>
      <c r="B39" s="2" t="s">
        <v>5</v>
      </c>
      <c r="C39" s="59">
        <f>229+145</f>
        <v>374</v>
      </c>
      <c r="D39" s="59">
        <v>486</v>
      </c>
      <c r="E39" s="118">
        <v>400</v>
      </c>
      <c r="F39" s="59">
        <v>512</v>
      </c>
      <c r="G39" s="59">
        <v>503</v>
      </c>
      <c r="H39" s="37"/>
    </row>
    <row r="40" spans="1:8" ht="18" customHeight="1" x14ac:dyDescent="0.3">
      <c r="A40" s="90"/>
      <c r="B40" s="2" t="s">
        <v>6</v>
      </c>
      <c r="C40" s="59">
        <f>48+52</f>
        <v>100</v>
      </c>
      <c r="D40" s="59">
        <v>109</v>
      </c>
      <c r="E40" s="123"/>
      <c r="F40" s="60">
        <v>139</v>
      </c>
      <c r="G40" s="60">
        <v>162</v>
      </c>
      <c r="H40" s="37"/>
    </row>
    <row r="41" spans="1:8" ht="18" customHeight="1" x14ac:dyDescent="0.3">
      <c r="A41" s="90"/>
      <c r="B41" s="2" t="s">
        <v>70</v>
      </c>
      <c r="C41" s="59">
        <f>109+23</f>
        <v>132</v>
      </c>
      <c r="D41" s="59">
        <v>169</v>
      </c>
      <c r="E41" s="123"/>
      <c r="F41" s="61">
        <v>234</v>
      </c>
      <c r="G41" s="61">
        <v>190</v>
      </c>
      <c r="H41" s="37"/>
    </row>
    <row r="42" spans="1:8" ht="18" customHeight="1" x14ac:dyDescent="0.3">
      <c r="A42" s="90"/>
      <c r="B42" s="2" t="s">
        <v>7</v>
      </c>
      <c r="C42" s="59">
        <v>16</v>
      </c>
      <c r="D42" s="59">
        <v>22</v>
      </c>
      <c r="E42" s="123"/>
      <c r="F42" s="61">
        <v>17</v>
      </c>
      <c r="G42" s="61">
        <v>31</v>
      </c>
      <c r="H42" s="37"/>
    </row>
    <row r="43" spans="1:8" ht="18" customHeight="1" x14ac:dyDescent="0.3">
      <c r="A43" s="90"/>
      <c r="B43" s="2" t="s">
        <v>8</v>
      </c>
      <c r="C43" s="59">
        <f>15+7</f>
        <v>22</v>
      </c>
      <c r="D43" s="59">
        <v>22</v>
      </c>
      <c r="E43" s="123"/>
      <c r="F43" s="61">
        <v>46</v>
      </c>
      <c r="G43" s="61">
        <v>50</v>
      </c>
      <c r="H43" s="37"/>
    </row>
    <row r="44" spans="1:8" ht="18" customHeight="1" x14ac:dyDescent="0.3">
      <c r="A44" s="90"/>
      <c r="B44" s="2" t="s">
        <v>9</v>
      </c>
      <c r="C44" s="59">
        <f>24+2</f>
        <v>26</v>
      </c>
      <c r="D44" s="59">
        <v>40</v>
      </c>
      <c r="E44" s="123"/>
      <c r="F44" s="61">
        <v>56</v>
      </c>
      <c r="G44" s="61">
        <v>83</v>
      </c>
      <c r="H44" s="37"/>
    </row>
    <row r="45" spans="1:8" ht="18" customHeight="1" x14ac:dyDescent="0.3">
      <c r="A45" s="91"/>
      <c r="B45" s="2" t="s">
        <v>10</v>
      </c>
      <c r="C45" s="59">
        <f>56+15</f>
        <v>71</v>
      </c>
      <c r="D45" s="59">
        <v>109</v>
      </c>
      <c r="E45" s="119"/>
      <c r="F45" s="62">
        <v>117</v>
      </c>
      <c r="G45" s="62">
        <v>105</v>
      </c>
      <c r="H45" s="37"/>
    </row>
    <row r="46" spans="1:8" ht="18" customHeight="1" x14ac:dyDescent="0.3">
      <c r="A46" s="97" t="s">
        <v>133</v>
      </c>
      <c r="B46" s="97"/>
      <c r="C46" s="58">
        <v>24</v>
      </c>
      <c r="D46" s="58">
        <f>+D47+D48</f>
        <v>43</v>
      </c>
      <c r="E46" s="58">
        <f>+E47+E48</f>
        <v>41</v>
      </c>
      <c r="F46" s="58">
        <f>+F47+F48</f>
        <v>41</v>
      </c>
      <c r="G46" s="58">
        <f>+G47+G48</f>
        <v>11</v>
      </c>
      <c r="H46" s="39"/>
    </row>
    <row r="47" spans="1:8" ht="18" customHeight="1" x14ac:dyDescent="0.25">
      <c r="A47" s="89" t="s">
        <v>89</v>
      </c>
      <c r="B47" s="2" t="s">
        <v>5</v>
      </c>
      <c r="C47" s="59">
        <v>12</v>
      </c>
      <c r="D47" s="59">
        <v>25</v>
      </c>
      <c r="E47" s="118">
        <v>41</v>
      </c>
      <c r="F47" s="42">
        <v>24</v>
      </c>
      <c r="G47" s="42">
        <v>3</v>
      </c>
    </row>
    <row r="48" spans="1:8" ht="18" customHeight="1" x14ac:dyDescent="0.25">
      <c r="A48" s="91"/>
      <c r="B48" s="2" t="s">
        <v>70</v>
      </c>
      <c r="C48" s="59">
        <v>12</v>
      </c>
      <c r="D48" s="59">
        <v>18</v>
      </c>
      <c r="E48" s="119"/>
      <c r="F48" s="42">
        <v>17</v>
      </c>
      <c r="G48" s="42">
        <v>8</v>
      </c>
    </row>
    <row r="49" spans="1:8" ht="18" customHeight="1" x14ac:dyDescent="0.25">
      <c r="A49" s="100" t="s">
        <v>136</v>
      </c>
      <c r="B49" s="100"/>
      <c r="C49" s="58">
        <f>+C38+C46</f>
        <v>765</v>
      </c>
      <c r="D49" s="58">
        <f>+D38+D46</f>
        <v>1000</v>
      </c>
      <c r="E49" s="58">
        <f>+E38+E46</f>
        <v>441</v>
      </c>
      <c r="F49" s="58">
        <f>+F38+F46</f>
        <v>1162</v>
      </c>
      <c r="G49" s="58">
        <f>+G38+G46</f>
        <v>1135</v>
      </c>
    </row>
    <row r="50" spans="1:8" s="35" customFormat="1" ht="20.100000000000001" customHeight="1" x14ac:dyDescent="0.25">
      <c r="A50" s="41"/>
      <c r="B50" s="41"/>
      <c r="C50" s="41"/>
      <c r="D50" s="41"/>
      <c r="E50" s="41"/>
      <c r="F50" s="41"/>
      <c r="G50" s="41"/>
      <c r="H50" s="18"/>
    </row>
    <row r="51" spans="1:8" ht="20.100000000000001" customHeight="1" x14ac:dyDescent="0.3">
      <c r="A51" s="93" t="s">
        <v>118</v>
      </c>
      <c r="B51" s="94"/>
      <c r="C51" s="94"/>
      <c r="D51" s="94"/>
      <c r="E51" s="94"/>
      <c r="F51" s="94"/>
      <c r="G51" s="95"/>
    </row>
    <row r="52" spans="1:8" ht="20.100000000000001" customHeight="1" x14ac:dyDescent="0.3">
      <c r="A52" s="32" t="s">
        <v>129</v>
      </c>
      <c r="B52" s="32" t="s">
        <v>130</v>
      </c>
      <c r="C52" s="33">
        <v>2021</v>
      </c>
      <c r="D52" s="33">
        <v>2022</v>
      </c>
      <c r="E52" s="33">
        <v>2023</v>
      </c>
      <c r="F52" s="33">
        <v>2024</v>
      </c>
      <c r="G52" s="33">
        <v>2025</v>
      </c>
    </row>
    <row r="53" spans="1:8" ht="18" customHeight="1" x14ac:dyDescent="0.25">
      <c r="A53" s="113" t="s">
        <v>131</v>
      </c>
      <c r="B53" s="113"/>
      <c r="C53" s="58">
        <v>2299</v>
      </c>
      <c r="D53" s="58">
        <v>1938</v>
      </c>
      <c r="E53" s="58">
        <f>+E54</f>
        <v>1198</v>
      </c>
      <c r="F53" s="58">
        <f>+F54+F55+F56</f>
        <v>1431</v>
      </c>
      <c r="G53" s="58">
        <f>+G54+G55+G56</f>
        <v>1188</v>
      </c>
    </row>
    <row r="54" spans="1:8" ht="18" customHeight="1" x14ac:dyDescent="0.25">
      <c r="A54" s="89" t="s">
        <v>138</v>
      </c>
      <c r="B54" s="2" t="s">
        <v>11</v>
      </c>
      <c r="C54" s="145">
        <v>2299</v>
      </c>
      <c r="D54" s="145">
        <v>1938</v>
      </c>
      <c r="E54" s="145">
        <v>1198</v>
      </c>
      <c r="F54" s="40">
        <v>293</v>
      </c>
      <c r="G54" s="40">
        <v>263</v>
      </c>
    </row>
    <row r="55" spans="1:8" ht="18" customHeight="1" x14ac:dyDescent="0.25">
      <c r="A55" s="90"/>
      <c r="B55" s="2" t="s">
        <v>12</v>
      </c>
      <c r="C55" s="146"/>
      <c r="D55" s="146"/>
      <c r="E55" s="146"/>
      <c r="F55" s="40">
        <v>510</v>
      </c>
      <c r="G55" s="40">
        <v>382</v>
      </c>
    </row>
    <row r="56" spans="1:8" ht="18" customHeight="1" x14ac:dyDescent="0.25">
      <c r="A56" s="91"/>
      <c r="B56" s="2" t="s">
        <v>13</v>
      </c>
      <c r="C56" s="147"/>
      <c r="D56" s="147"/>
      <c r="E56" s="147"/>
      <c r="F56" s="40">
        <v>628</v>
      </c>
      <c r="G56" s="40">
        <v>543</v>
      </c>
    </row>
    <row r="57" spans="1:8" ht="18" customHeight="1" x14ac:dyDescent="0.25">
      <c r="A57" s="97" t="s">
        <v>133</v>
      </c>
      <c r="B57" s="97"/>
      <c r="C57" s="58">
        <f>SUM(C58:C72)</f>
        <v>694</v>
      </c>
      <c r="D57" s="58">
        <f>SUM(D58:D72)</f>
        <v>888</v>
      </c>
      <c r="E57" s="58">
        <f>SUM(E58:E72)</f>
        <v>826</v>
      </c>
      <c r="F57" s="58">
        <f>SUM(F58:F72)</f>
        <v>890</v>
      </c>
      <c r="G57" s="58">
        <f>SUM(G58:G72)</f>
        <v>633</v>
      </c>
    </row>
    <row r="58" spans="1:8" ht="18" customHeight="1" x14ac:dyDescent="0.25">
      <c r="A58" s="89" t="s">
        <v>139</v>
      </c>
      <c r="B58" s="2" t="s">
        <v>12</v>
      </c>
      <c r="C58" s="63">
        <v>0</v>
      </c>
      <c r="D58" s="63">
        <v>0</v>
      </c>
      <c r="E58" s="63">
        <v>88</v>
      </c>
      <c r="F58" s="63">
        <v>104</v>
      </c>
      <c r="G58" s="63">
        <v>0</v>
      </c>
      <c r="H58" s="114"/>
    </row>
    <row r="59" spans="1:8" ht="18" customHeight="1" x14ac:dyDescent="0.25">
      <c r="A59" s="90"/>
      <c r="B59" s="2" t="s">
        <v>13</v>
      </c>
      <c r="C59" s="63">
        <v>89</v>
      </c>
      <c r="D59" s="63">
        <v>112</v>
      </c>
      <c r="E59" s="63">
        <v>51</v>
      </c>
      <c r="F59" s="64">
        <v>29</v>
      </c>
      <c r="G59" s="64">
        <v>66</v>
      </c>
      <c r="H59" s="114"/>
    </row>
    <row r="60" spans="1:8" ht="18" customHeight="1" x14ac:dyDescent="0.25">
      <c r="A60" s="89" t="s">
        <v>140</v>
      </c>
      <c r="B60" s="2" t="s">
        <v>12</v>
      </c>
      <c r="C60" s="63">
        <v>0</v>
      </c>
      <c r="D60" s="63">
        <v>26</v>
      </c>
      <c r="E60" s="63">
        <v>23</v>
      </c>
      <c r="F60" s="63">
        <v>15</v>
      </c>
      <c r="G60" s="63">
        <v>0</v>
      </c>
      <c r="H60" s="114"/>
    </row>
    <row r="61" spans="1:8" ht="18" customHeight="1" x14ac:dyDescent="0.25">
      <c r="A61" s="90"/>
      <c r="B61" s="2" t="s">
        <v>13</v>
      </c>
      <c r="C61" s="63">
        <v>84</v>
      </c>
      <c r="D61" s="63">
        <v>60</v>
      </c>
      <c r="E61" s="63">
        <v>64</v>
      </c>
      <c r="F61" s="64">
        <v>68</v>
      </c>
      <c r="G61" s="64">
        <v>46</v>
      </c>
      <c r="H61" s="114"/>
    </row>
    <row r="62" spans="1:8" ht="18" customHeight="1" x14ac:dyDescent="0.25">
      <c r="A62" s="89" t="s">
        <v>141</v>
      </c>
      <c r="B62" s="2" t="s">
        <v>12</v>
      </c>
      <c r="C62" s="63">
        <v>0</v>
      </c>
      <c r="D62" s="63">
        <v>33</v>
      </c>
      <c r="E62" s="63">
        <v>11</v>
      </c>
      <c r="F62" s="63">
        <v>32</v>
      </c>
      <c r="G62" s="63">
        <v>22</v>
      </c>
      <c r="H62" s="114"/>
    </row>
    <row r="63" spans="1:8" ht="18" customHeight="1" x14ac:dyDescent="0.25">
      <c r="A63" s="90"/>
      <c r="B63" s="2" t="s">
        <v>13</v>
      </c>
      <c r="C63" s="63">
        <v>59</v>
      </c>
      <c r="D63" s="63">
        <v>57</v>
      </c>
      <c r="E63" s="64">
        <v>20</v>
      </c>
      <c r="F63" s="64">
        <v>61</v>
      </c>
      <c r="G63" s="64">
        <v>36</v>
      </c>
      <c r="H63" s="114"/>
    </row>
    <row r="64" spans="1:8" ht="18" customHeight="1" x14ac:dyDescent="0.25">
      <c r="A64" s="2" t="s">
        <v>66</v>
      </c>
      <c r="B64" s="2" t="s">
        <v>13</v>
      </c>
      <c r="C64" s="63">
        <v>39</v>
      </c>
      <c r="D64" s="63">
        <v>30</v>
      </c>
      <c r="E64" s="63">
        <v>45</v>
      </c>
      <c r="F64" s="63">
        <v>69</v>
      </c>
      <c r="G64" s="63">
        <v>76</v>
      </c>
      <c r="H64" s="40"/>
    </row>
    <row r="65" spans="1:8" ht="18" customHeight="1" x14ac:dyDescent="0.25">
      <c r="A65" s="89" t="s">
        <v>142</v>
      </c>
      <c r="B65" s="2" t="s">
        <v>12</v>
      </c>
      <c r="C65" s="63">
        <v>127</v>
      </c>
      <c r="D65" s="63">
        <v>71</v>
      </c>
      <c r="E65" s="63">
        <v>78</v>
      </c>
      <c r="F65" s="63">
        <v>13</v>
      </c>
      <c r="G65" s="63">
        <v>35</v>
      </c>
      <c r="H65" s="116"/>
    </row>
    <row r="66" spans="1:8" ht="18" customHeight="1" x14ac:dyDescent="0.25">
      <c r="A66" s="90"/>
      <c r="B66" s="2" t="s">
        <v>13</v>
      </c>
      <c r="C66" s="63">
        <v>0</v>
      </c>
      <c r="D66" s="63">
        <v>100</v>
      </c>
      <c r="E66" s="64">
        <v>102</v>
      </c>
      <c r="F66" s="64">
        <v>16</v>
      </c>
      <c r="G66" s="64">
        <v>51</v>
      </c>
      <c r="H66" s="117"/>
    </row>
    <row r="67" spans="1:8" ht="18" customHeight="1" x14ac:dyDescent="0.25">
      <c r="A67" s="89" t="s">
        <v>143</v>
      </c>
      <c r="B67" s="2" t="s">
        <v>12</v>
      </c>
      <c r="C67" s="63">
        <v>0</v>
      </c>
      <c r="D67" s="63">
        <v>27</v>
      </c>
      <c r="E67" s="63">
        <v>44</v>
      </c>
      <c r="F67" s="63">
        <v>47</v>
      </c>
      <c r="G67" s="63">
        <v>46</v>
      </c>
      <c r="H67" s="114"/>
    </row>
    <row r="68" spans="1:8" ht="18" customHeight="1" x14ac:dyDescent="0.25">
      <c r="A68" s="90"/>
      <c r="B68" s="2" t="s">
        <v>13</v>
      </c>
      <c r="C68" s="63">
        <v>100</v>
      </c>
      <c r="D68" s="63">
        <v>33</v>
      </c>
      <c r="E68" s="64">
        <v>34</v>
      </c>
      <c r="F68" s="64">
        <v>51</v>
      </c>
      <c r="G68" s="64">
        <v>45</v>
      </c>
      <c r="H68" s="114"/>
    </row>
    <row r="69" spans="1:8" ht="18" customHeight="1" x14ac:dyDescent="0.25">
      <c r="A69" s="89" t="s">
        <v>54</v>
      </c>
      <c r="B69" s="2" t="s">
        <v>12</v>
      </c>
      <c r="C69" s="63">
        <v>96</v>
      </c>
      <c r="D69" s="63">
        <v>109</v>
      </c>
      <c r="E69" s="63">
        <v>128</v>
      </c>
      <c r="F69" s="63">
        <v>144</v>
      </c>
      <c r="G69" s="63">
        <v>74</v>
      </c>
      <c r="H69" s="114"/>
    </row>
    <row r="70" spans="1:8" ht="18" customHeight="1" x14ac:dyDescent="0.25">
      <c r="A70" s="90"/>
      <c r="B70" s="2" t="s">
        <v>13</v>
      </c>
      <c r="C70" s="63">
        <v>0</v>
      </c>
      <c r="D70" s="63">
        <v>100</v>
      </c>
      <c r="E70" s="64">
        <v>64</v>
      </c>
      <c r="F70" s="64">
        <v>147</v>
      </c>
      <c r="G70" s="64">
        <v>63</v>
      </c>
      <c r="H70" s="114"/>
    </row>
    <row r="71" spans="1:8" ht="18" customHeight="1" x14ac:dyDescent="0.25">
      <c r="A71" s="89" t="s">
        <v>144</v>
      </c>
      <c r="B71" s="2" t="s">
        <v>12</v>
      </c>
      <c r="C71" s="63">
        <v>100</v>
      </c>
      <c r="D71" s="63">
        <v>58</v>
      </c>
      <c r="E71" s="63">
        <v>23</v>
      </c>
      <c r="F71" s="63">
        <v>36</v>
      </c>
      <c r="G71" s="63">
        <v>29</v>
      </c>
      <c r="H71" s="114"/>
    </row>
    <row r="72" spans="1:8" ht="18" customHeight="1" x14ac:dyDescent="0.25">
      <c r="A72" s="90"/>
      <c r="B72" s="2" t="s">
        <v>13</v>
      </c>
      <c r="C72" s="63">
        <v>0</v>
      </c>
      <c r="D72" s="63">
        <v>72</v>
      </c>
      <c r="E72" s="64">
        <v>51</v>
      </c>
      <c r="F72" s="64">
        <v>58</v>
      </c>
      <c r="G72" s="64">
        <v>44</v>
      </c>
      <c r="H72" s="114"/>
    </row>
    <row r="73" spans="1:8" ht="18" customHeight="1" x14ac:dyDescent="0.25">
      <c r="A73" s="109" t="s">
        <v>136</v>
      </c>
      <c r="B73" s="109"/>
      <c r="C73" s="58">
        <f>+C57+C53</f>
        <v>2993</v>
      </c>
      <c r="D73" s="58">
        <f>+D57+D53</f>
        <v>2826</v>
      </c>
      <c r="E73" s="58">
        <f>+E57+E53</f>
        <v>2024</v>
      </c>
      <c r="F73" s="58">
        <f>+F57+F53</f>
        <v>2321</v>
      </c>
      <c r="G73" s="58">
        <f>+G57+G53</f>
        <v>1821</v>
      </c>
    </row>
    <row r="74" spans="1:8" ht="18" customHeight="1" x14ac:dyDescent="0.25">
      <c r="A74" s="115"/>
      <c r="B74" s="115"/>
      <c r="C74" s="115"/>
      <c r="D74" s="115"/>
      <c r="E74" s="115"/>
      <c r="F74" s="115"/>
      <c r="G74" s="115"/>
    </row>
    <row r="75" spans="1:8" ht="17.25" customHeight="1" x14ac:dyDescent="0.3">
      <c r="A75" s="93" t="s">
        <v>119</v>
      </c>
      <c r="B75" s="94"/>
      <c r="C75" s="94"/>
      <c r="D75" s="94"/>
      <c r="E75" s="94"/>
      <c r="F75" s="94"/>
      <c r="G75" s="95"/>
    </row>
    <row r="76" spans="1:8" ht="15.6" x14ac:dyDescent="0.3">
      <c r="A76" s="32" t="s">
        <v>129</v>
      </c>
      <c r="B76" s="32" t="s">
        <v>130</v>
      </c>
      <c r="C76" s="33">
        <v>2021</v>
      </c>
      <c r="D76" s="33">
        <v>2022</v>
      </c>
      <c r="E76" s="33">
        <v>2023</v>
      </c>
      <c r="F76" s="33">
        <v>2024</v>
      </c>
      <c r="G76" s="33">
        <v>2025</v>
      </c>
    </row>
    <row r="77" spans="1:8" ht="15.75" customHeight="1" x14ac:dyDescent="0.25">
      <c r="A77" s="89" t="s">
        <v>132</v>
      </c>
      <c r="B77" s="2" t="s">
        <v>14</v>
      </c>
      <c r="C77" s="59">
        <v>127</v>
      </c>
      <c r="D77" s="59">
        <v>109</v>
      </c>
      <c r="E77" s="59">
        <v>131</v>
      </c>
      <c r="F77" s="59">
        <v>136</v>
      </c>
      <c r="G77" s="59">
        <v>119</v>
      </c>
    </row>
    <row r="78" spans="1:8" ht="15.75" customHeight="1" x14ac:dyDescent="0.25">
      <c r="A78" s="91"/>
      <c r="B78" s="2" t="s">
        <v>145</v>
      </c>
      <c r="C78" s="59"/>
      <c r="D78" s="59"/>
      <c r="E78" s="59"/>
      <c r="F78" s="59"/>
      <c r="G78" s="59">
        <v>18</v>
      </c>
    </row>
    <row r="79" spans="1:8" x14ac:dyDescent="0.25">
      <c r="A79" s="100" t="s">
        <v>136</v>
      </c>
      <c r="B79" s="100"/>
      <c r="C79" s="58">
        <f>+C77+C78</f>
        <v>127</v>
      </c>
      <c r="D79" s="58">
        <f>+D77+D78</f>
        <v>109</v>
      </c>
      <c r="E79" s="58">
        <f>+E77+E78</f>
        <v>131</v>
      </c>
      <c r="F79" s="58">
        <f>+F77+F78</f>
        <v>136</v>
      </c>
      <c r="G79" s="58">
        <f>+G77+G78</f>
        <v>137</v>
      </c>
    </row>
    <row r="80" spans="1:8" s="35" customFormat="1" ht="20.100000000000001" customHeight="1" x14ac:dyDescent="0.25">
      <c r="A80" s="111"/>
      <c r="B80" s="112"/>
      <c r="C80" s="112"/>
      <c r="D80" s="112"/>
      <c r="E80" s="112"/>
      <c r="F80" s="65"/>
      <c r="G80" s="66"/>
      <c r="H80" s="18"/>
    </row>
    <row r="81" spans="1:8" ht="15.6" x14ac:dyDescent="0.3">
      <c r="A81" s="93" t="s">
        <v>120</v>
      </c>
      <c r="B81" s="94"/>
      <c r="C81" s="94"/>
      <c r="D81" s="94"/>
      <c r="E81" s="94"/>
      <c r="F81" s="94"/>
      <c r="G81" s="95"/>
    </row>
    <row r="82" spans="1:8" ht="15.6" x14ac:dyDescent="0.3">
      <c r="A82" s="43" t="s">
        <v>129</v>
      </c>
      <c r="B82" s="43" t="s">
        <v>130</v>
      </c>
      <c r="C82" s="44">
        <v>2021</v>
      </c>
      <c r="D82" s="44">
        <v>2022</v>
      </c>
      <c r="E82" s="44">
        <v>2023</v>
      </c>
      <c r="F82" s="44">
        <v>2024</v>
      </c>
      <c r="G82" s="44">
        <v>2025</v>
      </c>
    </row>
    <row r="83" spans="1:8" x14ac:dyDescent="0.25">
      <c r="A83" s="113" t="s">
        <v>131</v>
      </c>
      <c r="B83" s="113"/>
      <c r="C83" s="45">
        <f>+C84+C85+C86+C87+C88+C89+C90</f>
        <v>630</v>
      </c>
      <c r="D83" s="45">
        <f>+D84+D85+D86+D87+D88+D89+D90</f>
        <v>573</v>
      </c>
      <c r="E83" s="45">
        <f>+E84+E85+E86+E87+E88+E89+E90</f>
        <v>517</v>
      </c>
      <c r="F83" s="45">
        <f>+F84+F85+F86+F87+F88+F89+F90</f>
        <v>450</v>
      </c>
      <c r="G83" s="45">
        <f>+G84+G85+G86+G87+G88+G89+G90</f>
        <v>562</v>
      </c>
    </row>
    <row r="84" spans="1:8" ht="18" customHeight="1" x14ac:dyDescent="0.25">
      <c r="A84" s="89" t="s">
        <v>138</v>
      </c>
      <c r="B84" s="2" t="s">
        <v>15</v>
      </c>
      <c r="C84" s="59">
        <f>9+31</f>
        <v>40</v>
      </c>
      <c r="D84" s="59">
        <v>45</v>
      </c>
      <c r="E84" s="59">
        <v>42</v>
      </c>
      <c r="F84" s="59">
        <v>37</v>
      </c>
      <c r="G84" s="59">
        <v>53</v>
      </c>
    </row>
    <row r="85" spans="1:8" ht="18" customHeight="1" x14ac:dyDescent="0.25">
      <c r="A85" s="90"/>
      <c r="B85" s="2" t="s">
        <v>16</v>
      </c>
      <c r="C85" s="38">
        <f>49+231</f>
        <v>280</v>
      </c>
      <c r="D85" s="38">
        <v>261</v>
      </c>
      <c r="E85" s="38">
        <v>217</v>
      </c>
      <c r="F85" s="38">
        <v>198</v>
      </c>
      <c r="G85" s="38">
        <v>281</v>
      </c>
    </row>
    <row r="86" spans="1:8" ht="18" customHeight="1" x14ac:dyDescent="0.25">
      <c r="A86" s="90"/>
      <c r="B86" s="2" t="s">
        <v>17</v>
      </c>
      <c r="C86" s="59">
        <f>42+117</f>
        <v>159</v>
      </c>
      <c r="D86" s="59">
        <v>115</v>
      </c>
      <c r="E86" s="59">
        <v>126</v>
      </c>
      <c r="F86" s="59">
        <v>100</v>
      </c>
      <c r="G86" s="59">
        <v>115</v>
      </c>
    </row>
    <row r="87" spans="1:8" ht="18" customHeight="1" x14ac:dyDescent="0.25">
      <c r="A87" s="90"/>
      <c r="B87" s="2" t="s">
        <v>74</v>
      </c>
      <c r="C87" s="59">
        <f>13+21</f>
        <v>34</v>
      </c>
      <c r="D87" s="59">
        <v>38</v>
      </c>
      <c r="E87" s="59">
        <v>35</v>
      </c>
      <c r="F87" s="59">
        <v>41</v>
      </c>
      <c r="G87" s="59">
        <v>36</v>
      </c>
    </row>
    <row r="88" spans="1:8" ht="18" customHeight="1" x14ac:dyDescent="0.25">
      <c r="A88" s="90"/>
      <c r="B88" s="2" t="s">
        <v>82</v>
      </c>
      <c r="C88" s="59">
        <v>30</v>
      </c>
      <c r="D88" s="59">
        <v>25</v>
      </c>
      <c r="E88" s="59">
        <v>27</v>
      </c>
      <c r="F88" s="59">
        <v>22</v>
      </c>
      <c r="G88" s="59">
        <v>23</v>
      </c>
    </row>
    <row r="89" spans="1:8" ht="18" customHeight="1" x14ac:dyDescent="0.25">
      <c r="A89" s="90"/>
      <c r="B89" s="2" t="s">
        <v>75</v>
      </c>
      <c r="C89" s="59">
        <f>14+54</f>
        <v>68</v>
      </c>
      <c r="D89" s="59">
        <v>60</v>
      </c>
      <c r="E89" s="59">
        <v>46</v>
      </c>
      <c r="F89" s="59">
        <v>28</v>
      </c>
      <c r="G89" s="59">
        <v>33</v>
      </c>
    </row>
    <row r="90" spans="1:8" ht="18" customHeight="1" x14ac:dyDescent="0.25">
      <c r="A90" s="91"/>
      <c r="B90" s="2" t="s">
        <v>18</v>
      </c>
      <c r="C90" s="59">
        <v>19</v>
      </c>
      <c r="D90" s="59">
        <v>29</v>
      </c>
      <c r="E90" s="59">
        <v>24</v>
      </c>
      <c r="F90" s="59">
        <v>24</v>
      </c>
      <c r="G90" s="59">
        <v>21</v>
      </c>
    </row>
    <row r="91" spans="1:8" ht="18" customHeight="1" x14ac:dyDescent="0.25">
      <c r="A91" s="97" t="s">
        <v>133</v>
      </c>
      <c r="B91" s="97"/>
      <c r="C91" s="67">
        <f>+C92</f>
        <v>0</v>
      </c>
      <c r="D91" s="67">
        <f>+D92</f>
        <v>0</v>
      </c>
      <c r="E91" s="67">
        <f>+E92</f>
        <v>0</v>
      </c>
      <c r="F91" s="67">
        <f>+F92</f>
        <v>20</v>
      </c>
      <c r="G91" s="67">
        <f>+G92</f>
        <v>20</v>
      </c>
    </row>
    <row r="92" spans="1:8" ht="18" customHeight="1" x14ac:dyDescent="0.25">
      <c r="A92" s="46" t="s">
        <v>146</v>
      </c>
      <c r="B92" s="2" t="s">
        <v>82</v>
      </c>
      <c r="C92" s="59">
        <v>0</v>
      </c>
      <c r="D92" s="59">
        <v>0</v>
      </c>
      <c r="E92" s="59">
        <v>0</v>
      </c>
      <c r="F92" s="59">
        <v>20</v>
      </c>
      <c r="G92" s="59">
        <v>20</v>
      </c>
    </row>
    <row r="93" spans="1:8" x14ac:dyDescent="0.25">
      <c r="A93" s="100" t="s">
        <v>136</v>
      </c>
      <c r="B93" s="100"/>
      <c r="C93" s="58">
        <f>+C83+C91</f>
        <v>630</v>
      </c>
      <c r="D93" s="58">
        <f>+D83+D91</f>
        <v>573</v>
      </c>
      <c r="E93" s="58">
        <f>+E83+E91</f>
        <v>517</v>
      </c>
      <c r="F93" s="58">
        <f>+F83+F91</f>
        <v>470</v>
      </c>
      <c r="G93" s="58">
        <f>+G83+G91</f>
        <v>582</v>
      </c>
    </row>
    <row r="94" spans="1:8" s="35" customFormat="1" ht="20.100000000000001" customHeight="1" x14ac:dyDescent="0.25">
      <c r="A94" s="103"/>
      <c r="B94" s="103"/>
      <c r="C94" s="103"/>
      <c r="D94" s="103"/>
      <c r="E94" s="103"/>
      <c r="F94" s="103"/>
      <c r="G94" s="103"/>
      <c r="H94" s="18"/>
    </row>
    <row r="95" spans="1:8" ht="20.100000000000001" customHeight="1" x14ac:dyDescent="0.3">
      <c r="A95" s="93" t="s">
        <v>147</v>
      </c>
      <c r="B95" s="94"/>
      <c r="C95" s="94"/>
      <c r="D95" s="94"/>
      <c r="E95" s="94"/>
      <c r="F95" s="94"/>
      <c r="G95" s="95"/>
    </row>
    <row r="96" spans="1:8" ht="20.100000000000001" customHeight="1" x14ac:dyDescent="0.3">
      <c r="A96" s="32" t="s">
        <v>129</v>
      </c>
      <c r="B96" s="32" t="s">
        <v>130</v>
      </c>
      <c r="C96" s="33">
        <v>2021</v>
      </c>
      <c r="D96" s="33">
        <v>2022</v>
      </c>
      <c r="E96" s="33">
        <v>2023</v>
      </c>
      <c r="F96" s="33">
        <v>2024</v>
      </c>
      <c r="G96" s="33">
        <v>2025</v>
      </c>
    </row>
    <row r="97" spans="1:9" ht="18" customHeight="1" x14ac:dyDescent="0.25">
      <c r="A97" s="107" t="s">
        <v>131</v>
      </c>
      <c r="B97" s="107"/>
      <c r="C97" s="58">
        <f>SUM(C98:C108)</f>
        <v>599</v>
      </c>
      <c r="D97" s="58">
        <f>SUM(D98:D108)</f>
        <v>747</v>
      </c>
      <c r="E97" s="58">
        <f>SUM(E98:E108)</f>
        <v>756</v>
      </c>
      <c r="F97" s="58">
        <f>SUM(F98:F108)</f>
        <v>548</v>
      </c>
      <c r="G97" s="58">
        <f>SUM(G98:G108)</f>
        <v>557</v>
      </c>
    </row>
    <row r="98" spans="1:9" ht="18" customHeight="1" x14ac:dyDescent="0.25">
      <c r="A98" s="89" t="s">
        <v>132</v>
      </c>
      <c r="B98" s="2" t="s">
        <v>19</v>
      </c>
      <c r="C98" s="59">
        <v>10</v>
      </c>
      <c r="D98" s="59">
        <v>7</v>
      </c>
      <c r="E98" s="59">
        <v>13</v>
      </c>
      <c r="F98" s="59">
        <v>6</v>
      </c>
      <c r="G98" s="59">
        <v>8</v>
      </c>
      <c r="H98" s="47"/>
    </row>
    <row r="99" spans="1:9" ht="18" customHeight="1" x14ac:dyDescent="0.25">
      <c r="A99" s="90"/>
      <c r="B99" s="2" t="s">
        <v>20</v>
      </c>
      <c r="C99" s="59">
        <f>18+7</f>
        <v>25</v>
      </c>
      <c r="D99" s="59">
        <v>19</v>
      </c>
      <c r="E99" s="59">
        <v>11</v>
      </c>
      <c r="F99" s="59">
        <v>11</v>
      </c>
      <c r="G99" s="59">
        <v>13</v>
      </c>
      <c r="H99" s="47"/>
    </row>
    <row r="100" spans="1:9" ht="18" customHeight="1" x14ac:dyDescent="0.25">
      <c r="A100" s="90"/>
      <c r="B100" s="2" t="s">
        <v>21</v>
      </c>
      <c r="C100" s="59">
        <f>7+5</f>
        <v>12</v>
      </c>
      <c r="D100" s="59">
        <v>22</v>
      </c>
      <c r="E100" s="59">
        <v>22</v>
      </c>
      <c r="F100" s="59">
        <v>12</v>
      </c>
      <c r="G100" s="59">
        <v>4</v>
      </c>
      <c r="H100" s="47"/>
    </row>
    <row r="101" spans="1:9" ht="18" customHeight="1" x14ac:dyDescent="0.25">
      <c r="A101" s="90"/>
      <c r="B101" s="2" t="s">
        <v>22</v>
      </c>
      <c r="C101" s="59">
        <f>240+60</f>
        <v>300</v>
      </c>
      <c r="D101" s="59">
        <v>444</v>
      </c>
      <c r="E101" s="59">
        <v>455</v>
      </c>
      <c r="F101" s="59">
        <v>345</v>
      </c>
      <c r="G101" s="59">
        <v>298</v>
      </c>
      <c r="H101" s="47"/>
    </row>
    <row r="102" spans="1:9" ht="18" customHeight="1" x14ac:dyDescent="0.25">
      <c r="A102" s="90"/>
      <c r="B102" s="2" t="s">
        <v>23</v>
      </c>
      <c r="C102" s="59">
        <f>44+52</f>
        <v>96</v>
      </c>
      <c r="D102" s="59">
        <v>100</v>
      </c>
      <c r="E102" s="59">
        <v>84</v>
      </c>
      <c r="F102" s="59">
        <v>52</v>
      </c>
      <c r="G102" s="59">
        <v>86</v>
      </c>
      <c r="H102" s="47"/>
    </row>
    <row r="103" spans="1:9" ht="18" customHeight="1" x14ac:dyDescent="0.25">
      <c r="A103" s="90"/>
      <c r="B103" s="2" t="s">
        <v>24</v>
      </c>
      <c r="C103" s="59">
        <v>16</v>
      </c>
      <c r="D103" s="59">
        <v>23</v>
      </c>
      <c r="E103" s="59">
        <v>22</v>
      </c>
      <c r="F103" s="59">
        <v>13</v>
      </c>
      <c r="G103" s="59">
        <v>10</v>
      </c>
      <c r="H103" s="47"/>
    </row>
    <row r="104" spans="1:9" ht="18" customHeight="1" x14ac:dyDescent="0.25">
      <c r="A104" s="90"/>
      <c r="B104" s="2" t="s">
        <v>56</v>
      </c>
      <c r="C104" s="59">
        <f>6+8</f>
        <v>14</v>
      </c>
      <c r="D104" s="59">
        <v>5</v>
      </c>
      <c r="E104" s="59">
        <v>9</v>
      </c>
      <c r="F104" s="59">
        <v>8</v>
      </c>
      <c r="G104" s="59">
        <v>7</v>
      </c>
      <c r="H104" s="48"/>
    </row>
    <row r="105" spans="1:9" ht="18" customHeight="1" x14ac:dyDescent="0.25">
      <c r="A105" s="90"/>
      <c r="B105" s="2" t="s">
        <v>57</v>
      </c>
      <c r="C105" s="59">
        <f>0+10</f>
        <v>10</v>
      </c>
      <c r="D105" s="59">
        <v>8</v>
      </c>
      <c r="E105" s="59">
        <v>15</v>
      </c>
      <c r="F105" s="59">
        <v>9</v>
      </c>
      <c r="G105" s="59">
        <v>16</v>
      </c>
      <c r="H105" s="48"/>
    </row>
    <row r="106" spans="1:9" ht="18" customHeight="1" x14ac:dyDescent="0.25">
      <c r="A106" s="90"/>
      <c r="B106" s="2" t="s">
        <v>58</v>
      </c>
      <c r="C106" s="59">
        <f>2+20</f>
        <v>22</v>
      </c>
      <c r="D106" s="59">
        <v>18</v>
      </c>
      <c r="E106" s="59">
        <v>16</v>
      </c>
      <c r="F106" s="59">
        <v>11</v>
      </c>
      <c r="G106" s="59">
        <v>17</v>
      </c>
      <c r="H106" s="48"/>
    </row>
    <row r="107" spans="1:9" ht="18" customHeight="1" x14ac:dyDescent="0.25">
      <c r="A107" s="90"/>
      <c r="B107" s="2" t="s">
        <v>59</v>
      </c>
      <c r="C107" s="59">
        <f>16+56</f>
        <v>72</v>
      </c>
      <c r="D107" s="59">
        <v>93</v>
      </c>
      <c r="E107" s="59">
        <v>93</v>
      </c>
      <c r="F107" s="59">
        <v>67</v>
      </c>
      <c r="G107" s="59">
        <f>24+61</f>
        <v>85</v>
      </c>
      <c r="H107" s="48"/>
    </row>
    <row r="108" spans="1:9" ht="18" customHeight="1" x14ac:dyDescent="0.25">
      <c r="A108" s="91"/>
      <c r="B108" s="2" t="s">
        <v>60</v>
      </c>
      <c r="C108" s="59">
        <f>4+18</f>
        <v>22</v>
      </c>
      <c r="D108" s="59">
        <v>8</v>
      </c>
      <c r="E108" s="59">
        <v>16</v>
      </c>
      <c r="F108" s="59">
        <v>14</v>
      </c>
      <c r="G108" s="59">
        <v>13</v>
      </c>
      <c r="H108" s="48"/>
    </row>
    <row r="109" spans="1:9" ht="18" customHeight="1" x14ac:dyDescent="0.25">
      <c r="A109" s="97" t="s">
        <v>133</v>
      </c>
      <c r="B109" s="97"/>
      <c r="C109" s="58">
        <f>SUM(C110:C123)</f>
        <v>613</v>
      </c>
      <c r="D109" s="58">
        <f>SUM(D110:D123)</f>
        <v>674</v>
      </c>
      <c r="E109" s="58">
        <f>SUM(E110:E123)</f>
        <v>774</v>
      </c>
      <c r="F109" s="58">
        <f>SUM(F110:F123)</f>
        <v>637</v>
      </c>
      <c r="G109" s="58">
        <f>SUM(G110:G123)</f>
        <v>347</v>
      </c>
    </row>
    <row r="110" spans="1:9" ht="15.75" customHeight="1" x14ac:dyDescent="0.3">
      <c r="A110" s="89" t="s">
        <v>49</v>
      </c>
      <c r="B110" s="2" t="s">
        <v>24</v>
      </c>
      <c r="C110" s="59">
        <f>19+62</f>
        <v>81</v>
      </c>
      <c r="D110" s="59">
        <v>56</v>
      </c>
      <c r="E110" s="59">
        <v>94</v>
      </c>
      <c r="F110" s="59">
        <v>63</v>
      </c>
      <c r="G110" s="59">
        <v>40</v>
      </c>
      <c r="H110" s="47"/>
      <c r="I110" s="49"/>
    </row>
    <row r="111" spans="1:9" ht="15.75" customHeight="1" x14ac:dyDescent="0.3">
      <c r="A111" s="90"/>
      <c r="B111" s="2" t="s">
        <v>22</v>
      </c>
      <c r="C111" s="59">
        <v>15</v>
      </c>
      <c r="D111" s="59">
        <v>113</v>
      </c>
      <c r="E111" s="59">
        <v>59</v>
      </c>
      <c r="F111" s="59">
        <v>42</v>
      </c>
      <c r="G111" s="59">
        <v>46</v>
      </c>
      <c r="H111" s="47"/>
      <c r="I111" s="49"/>
    </row>
    <row r="112" spans="1:9" ht="15.75" customHeight="1" x14ac:dyDescent="0.3">
      <c r="A112" s="89" t="s">
        <v>53</v>
      </c>
      <c r="B112" s="2" t="s">
        <v>24</v>
      </c>
      <c r="C112" s="59">
        <f>15+36</f>
        <v>51</v>
      </c>
      <c r="D112" s="59">
        <v>29</v>
      </c>
      <c r="E112" s="59">
        <v>26</v>
      </c>
      <c r="F112" s="59">
        <v>28</v>
      </c>
      <c r="G112" s="59">
        <v>13</v>
      </c>
      <c r="H112" s="47"/>
      <c r="I112" s="49"/>
    </row>
    <row r="113" spans="1:9" ht="15.75" customHeight="1" x14ac:dyDescent="0.3">
      <c r="A113" s="90"/>
      <c r="B113" s="2" t="s">
        <v>22</v>
      </c>
      <c r="C113" s="59">
        <f>23+73</f>
        <v>96</v>
      </c>
      <c r="D113" s="59">
        <v>58</v>
      </c>
      <c r="E113" s="59">
        <v>54</v>
      </c>
      <c r="F113" s="59">
        <v>60</v>
      </c>
      <c r="G113" s="59">
        <v>38</v>
      </c>
      <c r="H113" s="47"/>
      <c r="I113" s="49"/>
    </row>
    <row r="114" spans="1:9" ht="15.75" customHeight="1" x14ac:dyDescent="0.3">
      <c r="A114" s="91"/>
      <c r="B114" s="2" t="s">
        <v>20</v>
      </c>
      <c r="C114" s="59">
        <v>9</v>
      </c>
      <c r="D114" s="59" t="s">
        <v>73</v>
      </c>
      <c r="E114" s="59">
        <v>2</v>
      </c>
      <c r="F114" s="59">
        <v>5</v>
      </c>
      <c r="G114" s="59">
        <v>4</v>
      </c>
      <c r="H114" s="47"/>
      <c r="I114" s="49"/>
    </row>
    <row r="115" spans="1:9" ht="15.75" customHeight="1" x14ac:dyDescent="0.3">
      <c r="A115" s="89" t="s">
        <v>50</v>
      </c>
      <c r="B115" s="2" t="s">
        <v>24</v>
      </c>
      <c r="C115" s="59">
        <f>37+55</f>
        <v>92</v>
      </c>
      <c r="D115" s="59">
        <v>92</v>
      </c>
      <c r="E115" s="59">
        <v>98</v>
      </c>
      <c r="F115" s="59">
        <v>77</v>
      </c>
      <c r="G115" s="59">
        <v>33</v>
      </c>
      <c r="H115" s="47"/>
      <c r="I115" s="49"/>
    </row>
    <row r="116" spans="1:9" ht="15.75" customHeight="1" x14ac:dyDescent="0.3">
      <c r="A116" s="90"/>
      <c r="B116" s="2" t="s">
        <v>22</v>
      </c>
      <c r="C116" s="59">
        <v>26</v>
      </c>
      <c r="D116" s="59">
        <v>26</v>
      </c>
      <c r="E116" s="59">
        <v>49</v>
      </c>
      <c r="F116" s="59">
        <v>36</v>
      </c>
      <c r="G116" s="59">
        <v>17</v>
      </c>
      <c r="H116" s="47"/>
      <c r="I116" s="49"/>
    </row>
    <row r="117" spans="1:9" ht="15.75" customHeight="1" x14ac:dyDescent="0.25">
      <c r="A117" s="89" t="s">
        <v>52</v>
      </c>
      <c r="B117" s="2" t="s">
        <v>24</v>
      </c>
      <c r="C117" s="59">
        <v>8</v>
      </c>
      <c r="D117" s="59">
        <v>29</v>
      </c>
      <c r="E117" s="59">
        <v>33</v>
      </c>
      <c r="F117" s="59">
        <v>15</v>
      </c>
      <c r="G117" s="59">
        <v>12</v>
      </c>
      <c r="H117" s="47"/>
    </row>
    <row r="118" spans="1:9" ht="15.75" customHeight="1" x14ac:dyDescent="0.25">
      <c r="A118" s="90"/>
      <c r="B118" s="2" t="s">
        <v>22</v>
      </c>
      <c r="C118" s="59">
        <v>42</v>
      </c>
      <c r="D118" s="59">
        <v>47</v>
      </c>
      <c r="E118" s="59">
        <v>56</v>
      </c>
      <c r="F118" s="59">
        <v>35</v>
      </c>
      <c r="G118" s="59">
        <v>41</v>
      </c>
      <c r="H118" s="47"/>
    </row>
    <row r="119" spans="1:9" ht="15.75" customHeight="1" x14ac:dyDescent="0.25">
      <c r="A119" s="89" t="s">
        <v>66</v>
      </c>
      <c r="B119" s="2" t="s">
        <v>24</v>
      </c>
      <c r="C119" s="59">
        <f>73+23</f>
        <v>96</v>
      </c>
      <c r="D119" s="59">
        <v>112</v>
      </c>
      <c r="E119" s="59">
        <v>163</v>
      </c>
      <c r="F119" s="59">
        <v>144</v>
      </c>
      <c r="G119" s="59">
        <v>57</v>
      </c>
      <c r="H119" s="47"/>
    </row>
    <row r="120" spans="1:9" ht="15.75" customHeight="1" x14ac:dyDescent="0.25">
      <c r="A120" s="90"/>
      <c r="B120" s="2" t="s">
        <v>22</v>
      </c>
      <c r="C120" s="59">
        <v>18</v>
      </c>
      <c r="D120" s="59">
        <v>21</v>
      </c>
      <c r="E120" s="59">
        <v>27</v>
      </c>
      <c r="F120" s="59">
        <v>78</v>
      </c>
      <c r="G120" s="59">
        <v>20</v>
      </c>
      <c r="H120" s="47"/>
    </row>
    <row r="121" spans="1:9" ht="15.75" customHeight="1" x14ac:dyDescent="0.25">
      <c r="A121" s="89" t="s">
        <v>64</v>
      </c>
      <c r="B121" s="2" t="s">
        <v>24</v>
      </c>
      <c r="C121" s="59">
        <f>13+21</f>
        <v>34</v>
      </c>
      <c r="D121" s="59">
        <v>38</v>
      </c>
      <c r="E121" s="59">
        <v>75</v>
      </c>
      <c r="F121" s="59">
        <v>32</v>
      </c>
      <c r="G121" s="59">
        <v>12</v>
      </c>
      <c r="H121" s="47"/>
    </row>
    <row r="122" spans="1:9" ht="15.75" customHeight="1" x14ac:dyDescent="0.25">
      <c r="A122" s="90"/>
      <c r="B122" s="2" t="s">
        <v>23</v>
      </c>
      <c r="C122" s="59">
        <v>10</v>
      </c>
      <c r="D122" s="59">
        <v>8</v>
      </c>
      <c r="E122" s="59">
        <v>10</v>
      </c>
      <c r="F122" s="59">
        <v>3</v>
      </c>
      <c r="G122" s="59">
        <v>5</v>
      </c>
      <c r="H122" s="47"/>
    </row>
    <row r="123" spans="1:9" ht="15.75" customHeight="1" x14ac:dyDescent="0.25">
      <c r="A123" s="2" t="s">
        <v>55</v>
      </c>
      <c r="B123" s="2" t="s">
        <v>24</v>
      </c>
      <c r="C123" s="59">
        <f>12+23</f>
        <v>35</v>
      </c>
      <c r="D123" s="59">
        <v>45</v>
      </c>
      <c r="E123" s="59">
        <v>28</v>
      </c>
      <c r="F123" s="59">
        <v>19</v>
      </c>
      <c r="G123" s="59">
        <v>9</v>
      </c>
      <c r="H123" s="47"/>
    </row>
    <row r="124" spans="1:9" ht="18" customHeight="1" x14ac:dyDescent="0.25">
      <c r="A124" s="109" t="s">
        <v>136</v>
      </c>
      <c r="B124" s="109"/>
      <c r="C124" s="58">
        <f>+C109+C97</f>
        <v>1212</v>
      </c>
      <c r="D124" s="58">
        <f>+D109+D97</f>
        <v>1421</v>
      </c>
      <c r="E124" s="58">
        <f>+E109+E97</f>
        <v>1530</v>
      </c>
      <c r="F124" s="58">
        <f>+F109+F97</f>
        <v>1185</v>
      </c>
      <c r="G124" s="58">
        <f>+G109+G97</f>
        <v>904</v>
      </c>
    </row>
    <row r="125" spans="1:9" ht="18" customHeight="1" x14ac:dyDescent="0.25">
      <c r="A125" s="110"/>
      <c r="B125" s="110"/>
      <c r="C125" s="110"/>
      <c r="D125" s="110"/>
      <c r="E125" s="110"/>
      <c r="F125" s="110"/>
      <c r="G125" s="110"/>
    </row>
    <row r="126" spans="1:9" ht="20.100000000000001" customHeight="1" x14ac:dyDescent="0.3">
      <c r="A126" s="93" t="s">
        <v>122</v>
      </c>
      <c r="B126" s="94"/>
      <c r="C126" s="94"/>
      <c r="D126" s="94"/>
      <c r="E126" s="94"/>
      <c r="F126" s="94"/>
      <c r="G126" s="95"/>
    </row>
    <row r="127" spans="1:9" ht="20.100000000000001" customHeight="1" x14ac:dyDescent="0.3">
      <c r="A127" s="32" t="s">
        <v>129</v>
      </c>
      <c r="B127" s="32" t="s">
        <v>130</v>
      </c>
      <c r="C127" s="33">
        <v>2021</v>
      </c>
      <c r="D127" s="33">
        <v>2022</v>
      </c>
      <c r="E127" s="33">
        <v>2023</v>
      </c>
      <c r="F127" s="33">
        <v>2024</v>
      </c>
      <c r="G127" s="33">
        <v>2025</v>
      </c>
    </row>
    <row r="128" spans="1:9" ht="18" customHeight="1" x14ac:dyDescent="0.25">
      <c r="A128" s="96" t="s">
        <v>131</v>
      </c>
      <c r="B128" s="96"/>
      <c r="C128" s="58">
        <v>355</v>
      </c>
      <c r="D128" s="58">
        <f>SUM(D129:D134)</f>
        <v>572</v>
      </c>
      <c r="E128" s="58">
        <f>SUM(E129:E134)</f>
        <v>617</v>
      </c>
      <c r="F128" s="58">
        <f>SUM(F129:F134)</f>
        <v>602</v>
      </c>
      <c r="G128" s="58">
        <f>SUM(G129:G134)</f>
        <v>403</v>
      </c>
    </row>
    <row r="129" spans="1:7" ht="18" customHeight="1" x14ac:dyDescent="0.25">
      <c r="A129" s="89" t="s">
        <v>68</v>
      </c>
      <c r="B129" s="2" t="s">
        <v>25</v>
      </c>
      <c r="C129" s="59">
        <f>13+19</f>
        <v>32</v>
      </c>
      <c r="D129" s="59">
        <v>318</v>
      </c>
      <c r="E129" s="59">
        <v>373</v>
      </c>
      <c r="F129" s="59">
        <v>353</v>
      </c>
      <c r="G129" s="59">
        <v>258</v>
      </c>
    </row>
    <row r="130" spans="1:7" ht="18" customHeight="1" x14ac:dyDescent="0.25">
      <c r="A130" s="90"/>
      <c r="B130" s="2" t="s">
        <v>26</v>
      </c>
      <c r="C130" s="59">
        <f>7+9</f>
        <v>16</v>
      </c>
      <c r="D130" s="59">
        <v>22</v>
      </c>
      <c r="E130" s="59">
        <v>31</v>
      </c>
      <c r="F130" s="59">
        <v>40</v>
      </c>
      <c r="G130" s="59">
        <v>23</v>
      </c>
    </row>
    <row r="131" spans="1:7" ht="18" customHeight="1" x14ac:dyDescent="0.25">
      <c r="A131" s="90"/>
      <c r="B131" s="2" t="s">
        <v>27</v>
      </c>
      <c r="C131" s="59">
        <v>66</v>
      </c>
      <c r="D131" s="59">
        <v>5</v>
      </c>
      <c r="E131" s="59">
        <v>13</v>
      </c>
      <c r="F131" s="59">
        <v>6</v>
      </c>
      <c r="G131" s="59">
        <v>2</v>
      </c>
    </row>
    <row r="132" spans="1:7" ht="18" customHeight="1" x14ac:dyDescent="0.25">
      <c r="A132" s="90"/>
      <c r="B132" s="2" t="s">
        <v>28</v>
      </c>
      <c r="C132" s="59">
        <f>65+141</f>
        <v>206</v>
      </c>
      <c r="D132" s="59">
        <v>35</v>
      </c>
      <c r="E132" s="59">
        <v>39</v>
      </c>
      <c r="F132" s="59">
        <v>34</v>
      </c>
      <c r="G132" s="59">
        <v>23</v>
      </c>
    </row>
    <row r="133" spans="1:7" ht="18" customHeight="1" x14ac:dyDescent="0.25">
      <c r="A133" s="90"/>
      <c r="B133" s="2" t="s">
        <v>29</v>
      </c>
      <c r="C133" s="59">
        <f>13+22</f>
        <v>35</v>
      </c>
      <c r="D133" s="59">
        <v>165</v>
      </c>
      <c r="E133" s="59">
        <v>126</v>
      </c>
      <c r="F133" s="59">
        <v>142</v>
      </c>
      <c r="G133" s="59">
        <v>75</v>
      </c>
    </row>
    <row r="134" spans="1:7" ht="18" customHeight="1" x14ac:dyDescent="0.25">
      <c r="A134" s="91"/>
      <c r="B134" s="2" t="s">
        <v>83</v>
      </c>
      <c r="C134" s="59">
        <v>0</v>
      </c>
      <c r="D134" s="59">
        <v>27</v>
      </c>
      <c r="E134" s="59">
        <v>35</v>
      </c>
      <c r="F134" s="59">
        <v>27</v>
      </c>
      <c r="G134" s="59">
        <v>22</v>
      </c>
    </row>
    <row r="135" spans="1:7" ht="18" customHeight="1" x14ac:dyDescent="0.25">
      <c r="A135" s="97" t="s">
        <v>133</v>
      </c>
      <c r="B135" s="97"/>
      <c r="C135" s="58">
        <v>387</v>
      </c>
      <c r="D135" s="58">
        <f>SUM(D136:D145)</f>
        <v>413</v>
      </c>
      <c r="E135" s="58">
        <f>SUM(E136:E145)</f>
        <v>448</v>
      </c>
      <c r="F135" s="58">
        <f>SUM(F136:F145)</f>
        <v>501</v>
      </c>
      <c r="G135" s="58">
        <f>SUM(G136:G145)</f>
        <v>401</v>
      </c>
    </row>
    <row r="136" spans="1:7" ht="18" customHeight="1" x14ac:dyDescent="0.25">
      <c r="A136" s="89" t="s">
        <v>66</v>
      </c>
      <c r="B136" s="2" t="s">
        <v>25</v>
      </c>
      <c r="C136" s="59">
        <f>26+11</f>
        <v>37</v>
      </c>
      <c r="D136" s="59">
        <v>51</v>
      </c>
      <c r="E136" s="59">
        <v>59</v>
      </c>
      <c r="F136" s="59">
        <v>65</v>
      </c>
      <c r="G136" s="59">
        <v>57</v>
      </c>
    </row>
    <row r="137" spans="1:7" ht="18" customHeight="1" x14ac:dyDescent="0.25">
      <c r="A137" s="90"/>
      <c r="B137" s="2" t="s">
        <v>28</v>
      </c>
      <c r="C137" s="59">
        <f>41+30</f>
        <v>71</v>
      </c>
      <c r="D137" s="59">
        <v>40</v>
      </c>
      <c r="E137" s="59">
        <v>48</v>
      </c>
      <c r="F137" s="59">
        <v>45</v>
      </c>
      <c r="G137" s="59">
        <v>26</v>
      </c>
    </row>
    <row r="138" spans="1:7" ht="18" customHeight="1" x14ac:dyDescent="0.25">
      <c r="A138" s="89" t="s">
        <v>61</v>
      </c>
      <c r="B138" s="2" t="s">
        <v>25</v>
      </c>
      <c r="C138" s="59">
        <f>19+16</f>
        <v>35</v>
      </c>
      <c r="D138" s="59">
        <v>30</v>
      </c>
      <c r="E138" s="59">
        <v>35</v>
      </c>
      <c r="F138" s="59">
        <v>32</v>
      </c>
      <c r="G138" s="59">
        <v>37</v>
      </c>
    </row>
    <row r="139" spans="1:7" ht="18" customHeight="1" x14ac:dyDescent="0.25">
      <c r="A139" s="90"/>
      <c r="B139" s="2" t="s">
        <v>28</v>
      </c>
      <c r="C139" s="59">
        <f>9+15</f>
        <v>24</v>
      </c>
      <c r="D139" s="59">
        <v>18</v>
      </c>
      <c r="E139" s="59">
        <v>19</v>
      </c>
      <c r="F139" s="59">
        <v>15</v>
      </c>
      <c r="G139" s="59">
        <v>17</v>
      </c>
    </row>
    <row r="140" spans="1:7" ht="18" customHeight="1" x14ac:dyDescent="0.25">
      <c r="A140" s="89" t="s">
        <v>67</v>
      </c>
      <c r="B140" s="2" t="s">
        <v>25</v>
      </c>
      <c r="C140" s="59">
        <f>32+21</f>
        <v>53</v>
      </c>
      <c r="D140" s="59">
        <v>48</v>
      </c>
      <c r="E140" s="59">
        <v>34</v>
      </c>
      <c r="F140" s="59">
        <v>58</v>
      </c>
      <c r="G140" s="59">
        <v>65</v>
      </c>
    </row>
    <row r="141" spans="1:7" ht="18" customHeight="1" x14ac:dyDescent="0.25">
      <c r="A141" s="90"/>
      <c r="B141" s="2" t="s">
        <v>28</v>
      </c>
      <c r="C141" s="59">
        <v>19</v>
      </c>
      <c r="D141" s="59">
        <v>34</v>
      </c>
      <c r="E141" s="59">
        <v>30</v>
      </c>
      <c r="F141" s="59">
        <v>29</v>
      </c>
      <c r="G141" s="59">
        <v>18</v>
      </c>
    </row>
    <row r="142" spans="1:7" ht="18" customHeight="1" x14ac:dyDescent="0.25">
      <c r="A142" s="89" t="s">
        <v>47</v>
      </c>
      <c r="B142" s="2" t="s">
        <v>25</v>
      </c>
      <c r="C142" s="59">
        <f>23+19</f>
        <v>42</v>
      </c>
      <c r="D142" s="59">
        <v>63</v>
      </c>
      <c r="E142" s="59">
        <v>60</v>
      </c>
      <c r="F142" s="59">
        <v>88</v>
      </c>
      <c r="G142" s="59">
        <v>62</v>
      </c>
    </row>
    <row r="143" spans="1:7" ht="18" customHeight="1" x14ac:dyDescent="0.25">
      <c r="A143" s="90"/>
      <c r="B143" s="2" t="s">
        <v>28</v>
      </c>
      <c r="C143" s="59">
        <v>39</v>
      </c>
      <c r="D143" s="59">
        <v>50</v>
      </c>
      <c r="E143" s="59">
        <v>89</v>
      </c>
      <c r="F143" s="59">
        <v>65</v>
      </c>
      <c r="G143" s="59">
        <v>41</v>
      </c>
    </row>
    <row r="144" spans="1:7" ht="18" customHeight="1" x14ac:dyDescent="0.25">
      <c r="A144" s="104" t="s">
        <v>102</v>
      </c>
      <c r="B144" s="2" t="s">
        <v>148</v>
      </c>
      <c r="C144" s="59" t="s">
        <v>73</v>
      </c>
      <c r="D144" s="59">
        <v>34</v>
      </c>
      <c r="E144" s="59">
        <v>28</v>
      </c>
      <c r="F144" s="59">
        <v>49</v>
      </c>
      <c r="G144" s="59">
        <v>39</v>
      </c>
    </row>
    <row r="145" spans="1:8" ht="18" customHeight="1" x14ac:dyDescent="0.25">
      <c r="A145" s="105"/>
      <c r="B145" s="2" t="s">
        <v>28</v>
      </c>
      <c r="C145" s="59">
        <v>67</v>
      </c>
      <c r="D145" s="59">
        <v>45</v>
      </c>
      <c r="E145" s="59">
        <v>46</v>
      </c>
      <c r="F145" s="59">
        <v>55</v>
      </c>
      <c r="G145" s="59">
        <v>39</v>
      </c>
    </row>
    <row r="146" spans="1:8" ht="18" customHeight="1" x14ac:dyDescent="0.25">
      <c r="A146" s="98" t="s">
        <v>136</v>
      </c>
      <c r="B146" s="98"/>
      <c r="C146" s="58">
        <f>+C135+C128</f>
        <v>742</v>
      </c>
      <c r="D146" s="58">
        <f>+D135+D128</f>
        <v>985</v>
      </c>
      <c r="E146" s="58">
        <f>+E135+E128</f>
        <v>1065</v>
      </c>
      <c r="F146" s="58">
        <f>+F135+F128</f>
        <v>1103</v>
      </c>
      <c r="G146" s="58">
        <f>+G135+G128</f>
        <v>804</v>
      </c>
    </row>
    <row r="147" spans="1:8" s="35" customFormat="1" ht="20.100000000000001" customHeight="1" x14ac:dyDescent="0.25">
      <c r="A147" s="106"/>
      <c r="B147" s="106"/>
      <c r="C147" s="106"/>
      <c r="D147" s="106"/>
      <c r="E147" s="106"/>
      <c r="F147" s="106"/>
      <c r="G147" s="106"/>
      <c r="H147" s="18"/>
    </row>
    <row r="148" spans="1:8" ht="20.100000000000001" customHeight="1" x14ac:dyDescent="0.3">
      <c r="A148" s="93" t="s">
        <v>123</v>
      </c>
      <c r="B148" s="94"/>
      <c r="C148" s="94"/>
      <c r="D148" s="94"/>
      <c r="E148" s="94"/>
      <c r="F148" s="94"/>
      <c r="G148" s="95"/>
    </row>
    <row r="149" spans="1:8" ht="20.100000000000001" customHeight="1" x14ac:dyDescent="0.3">
      <c r="A149" s="32" t="s">
        <v>129</v>
      </c>
      <c r="B149" s="32" t="s">
        <v>130</v>
      </c>
      <c r="C149" s="33">
        <v>2021</v>
      </c>
      <c r="D149" s="33">
        <v>2022</v>
      </c>
      <c r="E149" s="33">
        <v>2023</v>
      </c>
      <c r="F149" s="33">
        <v>2024</v>
      </c>
      <c r="G149" s="33">
        <v>2025</v>
      </c>
    </row>
    <row r="150" spans="1:8" ht="18" customHeight="1" x14ac:dyDescent="0.25">
      <c r="A150" s="107" t="s">
        <v>131</v>
      </c>
      <c r="B150" s="107"/>
      <c r="C150" s="58">
        <v>307</v>
      </c>
      <c r="D150" s="58">
        <v>249</v>
      </c>
      <c r="E150" s="58">
        <v>269</v>
      </c>
      <c r="F150" s="58">
        <v>276</v>
      </c>
      <c r="G150" s="58">
        <f>+G151</f>
        <v>225</v>
      </c>
    </row>
    <row r="151" spans="1:8" ht="18" customHeight="1" x14ac:dyDescent="0.25">
      <c r="A151" s="2" t="s">
        <v>138</v>
      </c>
      <c r="B151" s="2" t="s">
        <v>30</v>
      </c>
      <c r="C151" s="59">
        <v>307</v>
      </c>
      <c r="D151" s="59">
        <v>249</v>
      </c>
      <c r="E151" s="59">
        <v>269</v>
      </c>
      <c r="F151" s="59">
        <v>276</v>
      </c>
      <c r="G151" s="59">
        <v>225</v>
      </c>
    </row>
    <row r="152" spans="1:8" ht="18" customHeight="1" x14ac:dyDescent="0.25">
      <c r="A152" s="108" t="s">
        <v>133</v>
      </c>
      <c r="B152" s="108"/>
      <c r="C152" s="58">
        <v>266</v>
      </c>
      <c r="D152" s="58">
        <v>252</v>
      </c>
      <c r="E152" s="58">
        <v>267</v>
      </c>
      <c r="F152" s="58">
        <v>253</v>
      </c>
      <c r="G152" s="58">
        <f>SUM(G153:G156)</f>
        <v>216</v>
      </c>
    </row>
    <row r="153" spans="1:8" ht="18" customHeight="1" x14ac:dyDescent="0.25">
      <c r="A153" s="2" t="s">
        <v>62</v>
      </c>
      <c r="B153" s="89" t="s">
        <v>30</v>
      </c>
      <c r="C153" s="59">
        <v>108</v>
      </c>
      <c r="D153" s="59">
        <v>102</v>
      </c>
      <c r="E153" s="59">
        <v>97</v>
      </c>
      <c r="F153" s="59">
        <v>120</v>
      </c>
      <c r="G153" s="59">
        <v>95</v>
      </c>
    </row>
    <row r="154" spans="1:8" ht="18" customHeight="1" x14ac:dyDescent="0.25">
      <c r="A154" s="2" t="s">
        <v>64</v>
      </c>
      <c r="B154" s="90"/>
      <c r="C154" s="59">
        <v>62</v>
      </c>
      <c r="D154" s="59">
        <v>66</v>
      </c>
      <c r="E154" s="59">
        <v>80</v>
      </c>
      <c r="F154" s="59">
        <v>56</v>
      </c>
      <c r="G154" s="59">
        <v>53</v>
      </c>
    </row>
    <row r="155" spans="1:8" ht="18" customHeight="1" x14ac:dyDescent="0.25">
      <c r="A155" s="2" t="s">
        <v>61</v>
      </c>
      <c r="B155" s="90"/>
      <c r="C155" s="59">
        <v>51</v>
      </c>
      <c r="D155" s="59">
        <v>40</v>
      </c>
      <c r="E155" s="59">
        <v>43</v>
      </c>
      <c r="F155" s="59">
        <v>49</v>
      </c>
      <c r="G155" s="59">
        <v>33</v>
      </c>
    </row>
    <row r="156" spans="1:8" ht="18" customHeight="1" x14ac:dyDescent="0.25">
      <c r="A156" s="2" t="s">
        <v>49</v>
      </c>
      <c r="B156" s="91"/>
      <c r="C156" s="59">
        <v>45</v>
      </c>
      <c r="D156" s="59">
        <v>44</v>
      </c>
      <c r="E156" s="59">
        <v>47</v>
      </c>
      <c r="F156" s="59">
        <v>28</v>
      </c>
      <c r="G156" s="59">
        <v>35</v>
      </c>
    </row>
    <row r="157" spans="1:8" ht="18" customHeight="1" x14ac:dyDescent="0.25">
      <c r="A157" s="50"/>
      <c r="B157" s="51" t="s">
        <v>136</v>
      </c>
      <c r="C157" s="58">
        <f>+C152+C150</f>
        <v>573</v>
      </c>
      <c r="D157" s="58">
        <v>501</v>
      </c>
      <c r="E157" s="58">
        <v>536</v>
      </c>
      <c r="F157" s="58">
        <v>529</v>
      </c>
      <c r="G157" s="58">
        <f>+G150+G152</f>
        <v>441</v>
      </c>
    </row>
    <row r="158" spans="1:8" s="35" customFormat="1" ht="20.100000000000001" customHeight="1" x14ac:dyDescent="0.25">
      <c r="A158" s="103"/>
      <c r="B158" s="103"/>
      <c r="C158" s="103"/>
      <c r="D158" s="103"/>
      <c r="E158" s="103"/>
      <c r="F158" s="103"/>
      <c r="G158" s="103"/>
      <c r="H158" s="18"/>
    </row>
    <row r="159" spans="1:8" ht="20.100000000000001" customHeight="1" x14ac:dyDescent="0.3">
      <c r="A159" s="93" t="s">
        <v>149</v>
      </c>
      <c r="B159" s="94"/>
      <c r="C159" s="94"/>
      <c r="D159" s="94"/>
      <c r="E159" s="94"/>
      <c r="F159" s="94"/>
      <c r="G159" s="95"/>
    </row>
    <row r="160" spans="1:8" ht="20.100000000000001" customHeight="1" x14ac:dyDescent="0.3">
      <c r="A160" s="32" t="s">
        <v>129</v>
      </c>
      <c r="B160" s="32" t="s">
        <v>130</v>
      </c>
      <c r="C160" s="33">
        <v>2021</v>
      </c>
      <c r="D160" s="33">
        <v>2022</v>
      </c>
      <c r="E160" s="33">
        <v>2023</v>
      </c>
      <c r="F160" s="33">
        <v>2024</v>
      </c>
      <c r="G160" s="33">
        <v>2025</v>
      </c>
    </row>
    <row r="161" spans="1:8" ht="18" customHeight="1" x14ac:dyDescent="0.25">
      <c r="A161" s="89" t="s">
        <v>138</v>
      </c>
      <c r="B161" s="2" t="s">
        <v>31</v>
      </c>
      <c r="C161" s="59">
        <f>396+890</f>
        <v>1286</v>
      </c>
      <c r="D161" s="59">
        <v>761</v>
      </c>
      <c r="E161" s="59">
        <v>1200</v>
      </c>
      <c r="F161" s="59">
        <v>1032</v>
      </c>
      <c r="G161" s="59">
        <v>865</v>
      </c>
    </row>
    <row r="162" spans="1:8" ht="18" customHeight="1" x14ac:dyDescent="0.25">
      <c r="A162" s="90"/>
      <c r="B162" s="2" t="s">
        <v>32</v>
      </c>
      <c r="C162" s="59">
        <f>69+152</f>
        <v>221</v>
      </c>
      <c r="D162" s="59">
        <v>121</v>
      </c>
      <c r="E162" s="59">
        <v>258</v>
      </c>
      <c r="F162" s="59">
        <v>148</v>
      </c>
      <c r="G162" s="59">
        <v>221</v>
      </c>
    </row>
    <row r="163" spans="1:8" ht="18" customHeight="1" x14ac:dyDescent="0.25">
      <c r="A163" s="90"/>
      <c r="B163" s="2" t="s">
        <v>33</v>
      </c>
      <c r="C163" s="59">
        <f>31+25</f>
        <v>56</v>
      </c>
      <c r="D163" s="59">
        <v>58</v>
      </c>
      <c r="E163" s="59">
        <v>46</v>
      </c>
      <c r="F163" s="59">
        <v>31</v>
      </c>
      <c r="G163" s="59">
        <v>28</v>
      </c>
    </row>
    <row r="164" spans="1:8" ht="18" customHeight="1" x14ac:dyDescent="0.25">
      <c r="A164" s="90"/>
      <c r="B164" s="2" t="s">
        <v>79</v>
      </c>
      <c r="C164" s="59">
        <v>13</v>
      </c>
      <c r="D164" s="59">
        <v>20</v>
      </c>
      <c r="E164" s="59">
        <v>26</v>
      </c>
      <c r="F164" s="59">
        <v>16</v>
      </c>
      <c r="G164" s="59">
        <v>30</v>
      </c>
    </row>
    <row r="165" spans="1:8" ht="18" customHeight="1" x14ac:dyDescent="0.25">
      <c r="A165" s="90"/>
      <c r="B165" s="2" t="s">
        <v>69</v>
      </c>
      <c r="C165" s="59">
        <f>6+27</f>
        <v>33</v>
      </c>
      <c r="D165" s="59">
        <v>73</v>
      </c>
      <c r="E165" s="59">
        <v>35</v>
      </c>
      <c r="F165" s="59">
        <v>37</v>
      </c>
      <c r="G165" s="59">
        <v>55</v>
      </c>
    </row>
    <row r="166" spans="1:8" ht="18" customHeight="1" x14ac:dyDescent="0.25">
      <c r="A166" s="90"/>
      <c r="B166" s="2" t="s">
        <v>109</v>
      </c>
      <c r="C166" s="59">
        <v>0</v>
      </c>
      <c r="D166" s="59">
        <v>0</v>
      </c>
      <c r="E166" s="59">
        <v>0</v>
      </c>
      <c r="F166" s="59">
        <v>0</v>
      </c>
      <c r="G166" s="59">
        <v>20</v>
      </c>
    </row>
    <row r="167" spans="1:8" ht="27" customHeight="1" x14ac:dyDescent="0.25">
      <c r="A167" s="91"/>
      <c r="B167" s="2" t="s">
        <v>150</v>
      </c>
      <c r="C167" s="59">
        <v>40</v>
      </c>
      <c r="D167" s="59">
        <v>42</v>
      </c>
      <c r="E167" s="59">
        <v>36</v>
      </c>
      <c r="F167" s="59">
        <v>35</v>
      </c>
      <c r="G167" s="59">
        <v>64</v>
      </c>
    </row>
    <row r="168" spans="1:8" ht="18" customHeight="1" x14ac:dyDescent="0.25">
      <c r="A168" s="100" t="s">
        <v>136</v>
      </c>
      <c r="B168" s="100"/>
      <c r="C168" s="58">
        <f>SUM(C161:C167)</f>
        <v>1649</v>
      </c>
      <c r="D168" s="58">
        <f>SUM(D161:D167)</f>
        <v>1075</v>
      </c>
      <c r="E168" s="58">
        <f>SUM(E161:E167)</f>
        <v>1601</v>
      </c>
      <c r="F168" s="58">
        <f>SUM(F161:F167)</f>
        <v>1299</v>
      </c>
      <c r="G168" s="58">
        <f>SUM(G161:G167)</f>
        <v>1283</v>
      </c>
    </row>
    <row r="169" spans="1:8" s="35" customFormat="1" ht="11.25" customHeight="1" x14ac:dyDescent="0.25">
      <c r="A169" s="103"/>
      <c r="B169" s="103"/>
      <c r="C169" s="103"/>
      <c r="D169" s="103"/>
      <c r="E169" s="103"/>
      <c r="F169" s="103"/>
      <c r="G169" s="103"/>
      <c r="H169" s="18"/>
    </row>
    <row r="170" spans="1:8" ht="20.100000000000001" customHeight="1" x14ac:dyDescent="0.3">
      <c r="A170" s="93" t="s">
        <v>125</v>
      </c>
      <c r="B170" s="94"/>
      <c r="C170" s="94"/>
      <c r="D170" s="94"/>
      <c r="E170" s="94"/>
      <c r="F170" s="94"/>
      <c r="G170" s="95"/>
    </row>
    <row r="171" spans="1:8" ht="20.100000000000001" customHeight="1" x14ac:dyDescent="0.3">
      <c r="A171" s="32" t="s">
        <v>129</v>
      </c>
      <c r="B171" s="32" t="s">
        <v>130</v>
      </c>
      <c r="C171" s="33">
        <v>2021</v>
      </c>
      <c r="D171" s="33">
        <v>2022</v>
      </c>
      <c r="E171" s="33">
        <v>2023</v>
      </c>
      <c r="F171" s="33">
        <v>2024</v>
      </c>
      <c r="G171" s="33">
        <v>2025</v>
      </c>
    </row>
    <row r="172" spans="1:8" ht="18" customHeight="1" x14ac:dyDescent="0.25">
      <c r="A172" s="96" t="s">
        <v>131</v>
      </c>
      <c r="B172" s="96"/>
      <c r="C172" s="58">
        <v>2205</v>
      </c>
      <c r="D172" s="58">
        <v>934</v>
      </c>
      <c r="E172" s="58">
        <v>1973</v>
      </c>
      <c r="F172" s="58">
        <v>1281</v>
      </c>
      <c r="G172" s="58">
        <f>SUM(G173:G185)</f>
        <v>1563</v>
      </c>
    </row>
    <row r="173" spans="1:8" ht="18" customHeight="1" x14ac:dyDescent="0.25">
      <c r="A173" s="89" t="s">
        <v>68</v>
      </c>
      <c r="B173" s="2" t="s">
        <v>34</v>
      </c>
      <c r="C173" s="59">
        <v>569</v>
      </c>
      <c r="D173" s="59">
        <v>355</v>
      </c>
      <c r="E173" s="59">
        <v>804</v>
      </c>
      <c r="F173" s="59">
        <v>469</v>
      </c>
      <c r="G173" s="59">
        <v>384</v>
      </c>
    </row>
    <row r="174" spans="1:8" ht="18" customHeight="1" x14ac:dyDescent="0.25">
      <c r="A174" s="90"/>
      <c r="B174" s="2" t="s">
        <v>104</v>
      </c>
      <c r="C174" s="59">
        <v>235</v>
      </c>
      <c r="D174" s="59">
        <v>66</v>
      </c>
      <c r="E174" s="59">
        <v>130</v>
      </c>
      <c r="F174" s="59">
        <v>160</v>
      </c>
      <c r="G174" s="59">
        <v>299</v>
      </c>
    </row>
    <row r="175" spans="1:8" ht="18" customHeight="1" x14ac:dyDescent="0.25">
      <c r="A175" s="90"/>
      <c r="B175" s="2" t="s">
        <v>35</v>
      </c>
      <c r="C175" s="59">
        <v>270</v>
      </c>
      <c r="D175" s="59">
        <v>138</v>
      </c>
      <c r="E175" s="59">
        <v>285</v>
      </c>
      <c r="F175" s="59">
        <v>149</v>
      </c>
      <c r="G175" s="59">
        <v>174</v>
      </c>
    </row>
    <row r="176" spans="1:8" ht="18" customHeight="1" x14ac:dyDescent="0.25">
      <c r="A176" s="90"/>
      <c r="B176" s="2" t="s">
        <v>36</v>
      </c>
      <c r="C176" s="59">
        <v>315</v>
      </c>
      <c r="D176" s="59">
        <v>135</v>
      </c>
      <c r="E176" s="59">
        <v>252</v>
      </c>
      <c r="F176" s="59">
        <v>163</v>
      </c>
      <c r="G176" s="59">
        <v>182</v>
      </c>
    </row>
    <row r="177" spans="1:7" ht="18" customHeight="1" x14ac:dyDescent="0.25">
      <c r="A177" s="90"/>
      <c r="B177" s="2" t="s">
        <v>76</v>
      </c>
      <c r="C177" s="59">
        <v>40</v>
      </c>
      <c r="D177" s="59">
        <v>2</v>
      </c>
      <c r="E177" s="59">
        <v>6</v>
      </c>
      <c r="F177" s="59">
        <v>8</v>
      </c>
      <c r="G177" s="59">
        <v>23</v>
      </c>
    </row>
    <row r="178" spans="1:7" ht="18" customHeight="1" x14ac:dyDescent="0.25">
      <c r="A178" s="90"/>
      <c r="B178" s="2" t="s">
        <v>37</v>
      </c>
      <c r="C178" s="59">
        <v>20</v>
      </c>
      <c r="D178" s="59">
        <v>6</v>
      </c>
      <c r="E178" s="59">
        <v>10</v>
      </c>
      <c r="F178" s="59">
        <v>7</v>
      </c>
      <c r="G178" s="59">
        <v>18</v>
      </c>
    </row>
    <row r="179" spans="1:7" ht="18" customHeight="1" x14ac:dyDescent="0.25">
      <c r="A179" s="90"/>
      <c r="B179" s="2" t="s">
        <v>38</v>
      </c>
      <c r="C179" s="59">
        <v>207</v>
      </c>
      <c r="D179" s="59">
        <v>36</v>
      </c>
      <c r="E179" s="59">
        <v>104</v>
      </c>
      <c r="F179" s="59">
        <v>56</v>
      </c>
      <c r="G179" s="59">
        <v>81</v>
      </c>
    </row>
    <row r="180" spans="1:7" ht="18" customHeight="1" x14ac:dyDescent="0.25">
      <c r="A180" s="90"/>
      <c r="B180" s="2" t="s">
        <v>77</v>
      </c>
      <c r="C180" s="59">
        <v>9</v>
      </c>
      <c r="D180" s="59">
        <v>3</v>
      </c>
      <c r="E180" s="59">
        <v>3</v>
      </c>
      <c r="F180" s="59">
        <v>3</v>
      </c>
      <c r="G180" s="59">
        <v>28</v>
      </c>
    </row>
    <row r="181" spans="1:7" ht="18" customHeight="1" x14ac:dyDescent="0.25">
      <c r="A181" s="90"/>
      <c r="B181" s="2" t="s">
        <v>151</v>
      </c>
      <c r="C181" s="59">
        <v>104</v>
      </c>
      <c r="D181" s="59">
        <v>40</v>
      </c>
      <c r="E181" s="59">
        <v>79</v>
      </c>
      <c r="F181" s="59">
        <v>77</v>
      </c>
      <c r="G181" s="59">
        <v>82</v>
      </c>
    </row>
    <row r="182" spans="1:7" ht="18" customHeight="1" x14ac:dyDescent="0.25">
      <c r="A182" s="90"/>
      <c r="B182" s="2" t="s">
        <v>39</v>
      </c>
      <c r="C182" s="59">
        <v>153</v>
      </c>
      <c r="D182" s="59">
        <v>68</v>
      </c>
      <c r="E182" s="59">
        <v>147</v>
      </c>
      <c r="F182" s="59">
        <v>93</v>
      </c>
      <c r="G182" s="59">
        <v>103</v>
      </c>
    </row>
    <row r="183" spans="1:7" ht="18" customHeight="1" x14ac:dyDescent="0.25">
      <c r="A183" s="90"/>
      <c r="B183" s="2" t="s">
        <v>91</v>
      </c>
      <c r="C183" s="59">
        <v>106</v>
      </c>
      <c r="D183" s="59">
        <v>27</v>
      </c>
      <c r="E183" s="59">
        <v>48</v>
      </c>
      <c r="F183" s="59">
        <v>39</v>
      </c>
      <c r="G183" s="59">
        <v>48</v>
      </c>
    </row>
    <row r="184" spans="1:7" ht="24" customHeight="1" x14ac:dyDescent="0.25">
      <c r="A184" s="90"/>
      <c r="B184" s="2" t="s">
        <v>101</v>
      </c>
      <c r="C184" s="59">
        <v>25</v>
      </c>
      <c r="D184" s="59">
        <v>4</v>
      </c>
      <c r="E184" s="59">
        <v>16</v>
      </c>
      <c r="F184" s="59">
        <v>1</v>
      </c>
      <c r="G184" s="59">
        <v>59</v>
      </c>
    </row>
    <row r="185" spans="1:7" ht="18" customHeight="1" x14ac:dyDescent="0.25">
      <c r="A185" s="91"/>
      <c r="B185" s="2" t="s">
        <v>80</v>
      </c>
      <c r="C185" s="59">
        <v>152</v>
      </c>
      <c r="D185" s="59">
        <v>54</v>
      </c>
      <c r="E185" s="59">
        <v>89</v>
      </c>
      <c r="F185" s="59">
        <v>56</v>
      </c>
      <c r="G185" s="59">
        <v>82</v>
      </c>
    </row>
    <row r="186" spans="1:7" ht="18" customHeight="1" x14ac:dyDescent="0.25">
      <c r="A186" s="97" t="s">
        <v>133</v>
      </c>
      <c r="B186" s="97"/>
      <c r="C186" s="58">
        <v>78</v>
      </c>
      <c r="D186" s="58">
        <v>57</v>
      </c>
      <c r="E186" s="58">
        <v>86</v>
      </c>
      <c r="F186" s="58">
        <v>77</v>
      </c>
      <c r="G186" s="58">
        <f>SUM(G187:G190)</f>
        <v>84</v>
      </c>
    </row>
    <row r="187" spans="1:7" ht="18" customHeight="1" x14ac:dyDescent="0.25">
      <c r="A187" s="2" t="s">
        <v>48</v>
      </c>
      <c r="B187" s="2" t="s">
        <v>78</v>
      </c>
      <c r="C187" s="59">
        <v>28</v>
      </c>
      <c r="D187" s="59">
        <v>17</v>
      </c>
      <c r="E187" s="59">
        <v>20</v>
      </c>
      <c r="F187" s="59">
        <v>15</v>
      </c>
      <c r="G187" s="59">
        <v>25</v>
      </c>
    </row>
    <row r="188" spans="1:7" ht="18" customHeight="1" x14ac:dyDescent="0.25">
      <c r="A188" s="89" t="s">
        <v>55</v>
      </c>
      <c r="B188" s="2" t="s">
        <v>78</v>
      </c>
      <c r="C188" s="59">
        <v>28</v>
      </c>
      <c r="D188" s="59">
        <v>15</v>
      </c>
      <c r="E188" s="59">
        <v>35</v>
      </c>
      <c r="F188" s="59">
        <v>34</v>
      </c>
      <c r="G188" s="59">
        <v>27</v>
      </c>
    </row>
    <row r="189" spans="1:7" ht="18" customHeight="1" x14ac:dyDescent="0.25">
      <c r="A189" s="90"/>
      <c r="B189" s="2" t="s">
        <v>38</v>
      </c>
      <c r="C189" s="59">
        <v>4</v>
      </c>
      <c r="D189" s="59">
        <v>5</v>
      </c>
      <c r="E189" s="59">
        <v>8</v>
      </c>
      <c r="F189" s="59">
        <v>6</v>
      </c>
      <c r="G189" s="59">
        <v>8</v>
      </c>
    </row>
    <row r="190" spans="1:7" ht="18" customHeight="1" x14ac:dyDescent="0.25">
      <c r="A190" s="91"/>
      <c r="B190" s="2" t="s">
        <v>76</v>
      </c>
      <c r="C190" s="59">
        <v>18</v>
      </c>
      <c r="D190" s="59">
        <v>20</v>
      </c>
      <c r="E190" s="59">
        <v>23</v>
      </c>
      <c r="F190" s="59">
        <v>22</v>
      </c>
      <c r="G190" s="59">
        <f>22+2</f>
        <v>24</v>
      </c>
    </row>
    <row r="191" spans="1:7" ht="18" customHeight="1" x14ac:dyDescent="0.25">
      <c r="A191" s="98" t="s">
        <v>136</v>
      </c>
      <c r="B191" s="98"/>
      <c r="C191" s="58">
        <f>+C186+C172</f>
        <v>2283</v>
      </c>
      <c r="D191" s="58">
        <f>+D186+D172</f>
        <v>991</v>
      </c>
      <c r="E191" s="58">
        <f>+E186+E172</f>
        <v>2059</v>
      </c>
      <c r="F191" s="58">
        <f>+F186+F172</f>
        <v>1358</v>
      </c>
      <c r="G191" s="58">
        <f>+G186+G172</f>
        <v>1647</v>
      </c>
    </row>
    <row r="192" spans="1:7" ht="11.1" customHeight="1" x14ac:dyDescent="0.25">
      <c r="A192" s="92"/>
      <c r="B192" s="92"/>
      <c r="C192" s="92"/>
      <c r="D192" s="92"/>
      <c r="E192" s="92"/>
      <c r="F192" s="92"/>
      <c r="G192" s="92"/>
    </row>
    <row r="193" spans="1:7" ht="20.100000000000001" customHeight="1" x14ac:dyDescent="0.3">
      <c r="A193" s="93" t="s">
        <v>126</v>
      </c>
      <c r="B193" s="94"/>
      <c r="C193" s="94"/>
      <c r="D193" s="94"/>
      <c r="E193" s="94"/>
      <c r="F193" s="94"/>
      <c r="G193" s="95"/>
    </row>
    <row r="194" spans="1:7" ht="20.100000000000001" customHeight="1" x14ac:dyDescent="0.3">
      <c r="A194" s="32" t="s">
        <v>129</v>
      </c>
      <c r="B194" s="32" t="s">
        <v>130</v>
      </c>
      <c r="C194" s="33">
        <v>2021</v>
      </c>
      <c r="D194" s="33">
        <v>2022</v>
      </c>
      <c r="E194" s="33">
        <v>2023</v>
      </c>
      <c r="F194" s="33">
        <v>2024</v>
      </c>
      <c r="G194" s="33">
        <v>2025</v>
      </c>
    </row>
    <row r="195" spans="1:7" ht="18" customHeight="1" x14ac:dyDescent="0.25">
      <c r="A195" s="99" t="s">
        <v>68</v>
      </c>
      <c r="B195" s="2" t="s">
        <v>40</v>
      </c>
      <c r="C195" s="59">
        <f>21+16</f>
        <v>37</v>
      </c>
      <c r="D195" s="59">
        <v>20</v>
      </c>
      <c r="E195" s="59">
        <v>20</v>
      </c>
      <c r="F195" s="59">
        <v>29</v>
      </c>
      <c r="G195" s="59">
        <v>22</v>
      </c>
    </row>
    <row r="196" spans="1:7" ht="22.5" customHeight="1" x14ac:dyDescent="0.25">
      <c r="A196" s="99"/>
      <c r="B196" s="13" t="s">
        <v>87</v>
      </c>
      <c r="C196" s="59">
        <f>18+12</f>
        <v>30</v>
      </c>
      <c r="D196" s="59">
        <v>23</v>
      </c>
      <c r="E196" s="59">
        <v>25</v>
      </c>
      <c r="F196" s="59">
        <v>39</v>
      </c>
      <c r="G196" s="59">
        <v>49</v>
      </c>
    </row>
    <row r="197" spans="1:7" ht="18" customHeight="1" x14ac:dyDescent="0.25">
      <c r="A197" s="99"/>
      <c r="B197" s="2" t="s">
        <v>41</v>
      </c>
      <c r="C197" s="59">
        <f>12+30</f>
        <v>42</v>
      </c>
      <c r="D197" s="59">
        <v>19</v>
      </c>
      <c r="E197" s="59">
        <v>23</v>
      </c>
      <c r="F197" s="59">
        <v>45</v>
      </c>
      <c r="G197" s="59">
        <v>30</v>
      </c>
    </row>
    <row r="198" spans="1:7" ht="18" customHeight="1" x14ac:dyDescent="0.25">
      <c r="A198" s="99"/>
      <c r="B198" s="2" t="s">
        <v>42</v>
      </c>
      <c r="C198" s="59">
        <f>28+13</f>
        <v>41</v>
      </c>
      <c r="D198" s="59">
        <v>23</v>
      </c>
      <c r="E198" s="59">
        <v>33</v>
      </c>
      <c r="F198" s="59">
        <v>30</v>
      </c>
      <c r="G198" s="59">
        <v>30</v>
      </c>
    </row>
    <row r="199" spans="1:7" ht="18" customHeight="1" x14ac:dyDescent="0.25">
      <c r="A199" s="99"/>
      <c r="B199" s="2" t="s">
        <v>43</v>
      </c>
      <c r="C199" s="59">
        <f>8+5</f>
        <v>13</v>
      </c>
      <c r="D199" s="59">
        <v>14</v>
      </c>
      <c r="E199" s="59">
        <v>10</v>
      </c>
      <c r="F199" s="59">
        <v>4</v>
      </c>
      <c r="G199" s="59">
        <v>7</v>
      </c>
    </row>
    <row r="200" spans="1:7" ht="18" customHeight="1" x14ac:dyDescent="0.25">
      <c r="A200" s="99"/>
      <c r="B200" s="2" t="s">
        <v>44</v>
      </c>
      <c r="C200" s="59">
        <f>30+57</f>
        <v>87</v>
      </c>
      <c r="D200" s="59">
        <v>41</v>
      </c>
      <c r="E200" s="59">
        <v>47</v>
      </c>
      <c r="F200" s="59">
        <v>47</v>
      </c>
      <c r="G200" s="59">
        <v>44</v>
      </c>
    </row>
    <row r="201" spans="1:7" ht="25.5" customHeight="1" x14ac:dyDescent="0.25">
      <c r="A201" s="99"/>
      <c r="B201" s="13" t="s">
        <v>88</v>
      </c>
      <c r="C201" s="59">
        <f>77+109</f>
        <v>186</v>
      </c>
      <c r="D201" s="59">
        <v>102</v>
      </c>
      <c r="E201" s="59">
        <v>83</v>
      </c>
      <c r="F201" s="59">
        <v>121</v>
      </c>
      <c r="G201" s="59">
        <v>143</v>
      </c>
    </row>
    <row r="202" spans="1:7" ht="26.25" customHeight="1" x14ac:dyDescent="0.25">
      <c r="A202" s="99"/>
      <c r="B202" s="13" t="s">
        <v>96</v>
      </c>
      <c r="C202" s="59">
        <v>54</v>
      </c>
      <c r="D202" s="59">
        <v>36</v>
      </c>
      <c r="E202" s="59">
        <v>29</v>
      </c>
      <c r="F202" s="59">
        <v>32</v>
      </c>
      <c r="G202" s="59">
        <v>91</v>
      </c>
    </row>
    <row r="203" spans="1:7" ht="24.9" customHeight="1" x14ac:dyDescent="0.25">
      <c r="A203" s="99"/>
      <c r="B203" s="13" t="s">
        <v>86</v>
      </c>
      <c r="C203" s="59">
        <f>15+29</f>
        <v>44</v>
      </c>
      <c r="D203" s="59">
        <v>25</v>
      </c>
      <c r="E203" s="59">
        <v>31</v>
      </c>
      <c r="F203" s="59">
        <v>38</v>
      </c>
      <c r="G203" s="59">
        <v>122</v>
      </c>
    </row>
    <row r="204" spans="1:7" ht="19.5" customHeight="1" x14ac:dyDescent="0.25">
      <c r="A204" s="99"/>
      <c r="B204" s="2" t="s">
        <v>81</v>
      </c>
      <c r="C204" s="59">
        <f>17+42</f>
        <v>59</v>
      </c>
      <c r="D204" s="59">
        <v>54</v>
      </c>
      <c r="E204" s="59">
        <v>34</v>
      </c>
      <c r="F204" s="59">
        <v>34</v>
      </c>
      <c r="G204" s="59">
        <v>38</v>
      </c>
    </row>
    <row r="205" spans="1:7" ht="18" customHeight="1" x14ac:dyDescent="0.25">
      <c r="A205" s="99"/>
      <c r="B205" s="2" t="s">
        <v>45</v>
      </c>
      <c r="C205" s="59">
        <v>138</v>
      </c>
      <c r="D205" s="59">
        <v>80</v>
      </c>
      <c r="E205" s="59">
        <v>66</v>
      </c>
      <c r="F205" s="59">
        <v>60</v>
      </c>
      <c r="G205" s="59">
        <v>125</v>
      </c>
    </row>
    <row r="206" spans="1:7" ht="18" customHeight="1" x14ac:dyDescent="0.25">
      <c r="A206" s="99"/>
      <c r="B206" s="2" t="s">
        <v>92</v>
      </c>
      <c r="C206" s="59">
        <v>41</v>
      </c>
      <c r="D206" s="59">
        <v>26</v>
      </c>
      <c r="E206" s="59">
        <v>30</v>
      </c>
      <c r="F206" s="59">
        <v>30</v>
      </c>
      <c r="G206" s="59">
        <v>21</v>
      </c>
    </row>
    <row r="207" spans="1:7" ht="18" customHeight="1" x14ac:dyDescent="0.25">
      <c r="A207" s="99"/>
      <c r="B207" s="2" t="s">
        <v>93</v>
      </c>
      <c r="C207" s="59">
        <f>6+17</f>
        <v>23</v>
      </c>
      <c r="D207" s="59">
        <v>14</v>
      </c>
      <c r="E207" s="59">
        <v>12</v>
      </c>
      <c r="F207" s="59">
        <v>21</v>
      </c>
      <c r="G207" s="59">
        <v>18</v>
      </c>
    </row>
    <row r="208" spans="1:7" ht="18" customHeight="1" x14ac:dyDescent="0.25">
      <c r="A208" s="100" t="s">
        <v>136</v>
      </c>
      <c r="B208" s="100"/>
      <c r="C208" s="58">
        <f>SUM(C195:C207)</f>
        <v>795</v>
      </c>
      <c r="D208" s="58">
        <f>SUM(D195:D207)</f>
        <v>477</v>
      </c>
      <c r="E208" s="58">
        <f>SUM(E195:E207)</f>
        <v>443</v>
      </c>
      <c r="F208" s="58">
        <f>SUM(F195:F207)</f>
        <v>530</v>
      </c>
      <c r="G208" s="58">
        <f>SUM(G195:G207)</f>
        <v>740</v>
      </c>
    </row>
    <row r="209" spans="1:7" ht="11.1" customHeight="1" x14ac:dyDescent="0.25">
      <c r="A209" s="92"/>
      <c r="B209" s="92"/>
      <c r="C209" s="92"/>
      <c r="D209" s="92"/>
      <c r="E209" s="92"/>
      <c r="F209" s="92"/>
      <c r="G209" s="92"/>
    </row>
    <row r="210" spans="1:7" ht="18" customHeight="1" x14ac:dyDescent="0.3">
      <c r="A210" s="93" t="s">
        <v>127</v>
      </c>
      <c r="B210" s="94"/>
      <c r="C210" s="94"/>
      <c r="D210" s="94"/>
      <c r="E210" s="94"/>
      <c r="F210" s="94"/>
      <c r="G210" s="95"/>
    </row>
    <row r="211" spans="1:7" ht="18" customHeight="1" x14ac:dyDescent="0.3">
      <c r="A211" s="32" t="s">
        <v>129</v>
      </c>
      <c r="B211" s="32" t="s">
        <v>130</v>
      </c>
      <c r="C211" s="33">
        <v>2021</v>
      </c>
      <c r="D211" s="33">
        <v>2022</v>
      </c>
      <c r="E211" s="33">
        <v>2023</v>
      </c>
      <c r="F211" s="33">
        <v>2024</v>
      </c>
      <c r="G211" s="33">
        <v>2025</v>
      </c>
    </row>
    <row r="212" spans="1:7" ht="18" customHeight="1" x14ac:dyDescent="0.25">
      <c r="A212" s="96" t="s">
        <v>131</v>
      </c>
      <c r="B212" s="96"/>
      <c r="C212" s="58">
        <v>88</v>
      </c>
      <c r="D212" s="58">
        <f>SUM(D213:D214)</f>
        <v>145</v>
      </c>
      <c r="E212" s="58">
        <f>+E214+E213</f>
        <v>117</v>
      </c>
      <c r="F212" s="58">
        <f>+F214+F213</f>
        <v>163</v>
      </c>
      <c r="G212" s="58">
        <f>+G214+G213</f>
        <v>150</v>
      </c>
    </row>
    <row r="213" spans="1:7" ht="18" customHeight="1" x14ac:dyDescent="0.25">
      <c r="A213" s="89" t="s">
        <v>138</v>
      </c>
      <c r="B213" s="2" t="s">
        <v>46</v>
      </c>
      <c r="C213" s="59">
        <f>7+42</f>
        <v>49</v>
      </c>
      <c r="D213" s="59">
        <v>95</v>
      </c>
      <c r="E213" s="59">
        <v>70</v>
      </c>
      <c r="F213" s="59">
        <v>116</v>
      </c>
      <c r="G213" s="59">
        <v>107</v>
      </c>
    </row>
    <row r="214" spans="1:7" ht="18" customHeight="1" x14ac:dyDescent="0.25">
      <c r="A214" s="91"/>
      <c r="B214" s="2" t="s">
        <v>105</v>
      </c>
      <c r="C214" s="59">
        <f>3+36</f>
        <v>39</v>
      </c>
      <c r="D214" s="59">
        <v>50</v>
      </c>
      <c r="E214" s="59">
        <v>47</v>
      </c>
      <c r="F214" s="59">
        <v>47</v>
      </c>
      <c r="G214" s="59">
        <v>43</v>
      </c>
    </row>
    <row r="215" spans="1:7" ht="18" customHeight="1" x14ac:dyDescent="0.25">
      <c r="A215" s="97" t="s">
        <v>133</v>
      </c>
      <c r="B215" s="97"/>
      <c r="C215" s="58">
        <v>88</v>
      </c>
      <c r="D215" s="58">
        <f>SUM(D216:D220)</f>
        <v>106</v>
      </c>
      <c r="E215" s="58">
        <f>+E216+E217+E218+E219+E220</f>
        <v>205</v>
      </c>
      <c r="F215" s="58">
        <f>+F216+F217+F218+F219+F220</f>
        <v>212</v>
      </c>
      <c r="G215" s="58">
        <f>+G216+G217+G218+G219+G220</f>
        <v>206</v>
      </c>
    </row>
    <row r="216" spans="1:7" ht="18" customHeight="1" x14ac:dyDescent="0.25">
      <c r="A216" s="2" t="s">
        <v>48</v>
      </c>
      <c r="B216" s="89" t="s">
        <v>46</v>
      </c>
      <c r="C216" s="59">
        <f>3+11</f>
        <v>14</v>
      </c>
      <c r="D216" s="59">
        <v>14</v>
      </c>
      <c r="E216" s="59">
        <v>31</v>
      </c>
      <c r="F216" s="59">
        <v>40</v>
      </c>
      <c r="G216" s="59">
        <v>36</v>
      </c>
    </row>
    <row r="217" spans="1:7" ht="18" customHeight="1" x14ac:dyDescent="0.25">
      <c r="A217" s="2" t="s">
        <v>49</v>
      </c>
      <c r="B217" s="90"/>
      <c r="C217" s="59">
        <f>2+18</f>
        <v>20</v>
      </c>
      <c r="D217" s="59">
        <v>20</v>
      </c>
      <c r="E217" s="59">
        <v>52</v>
      </c>
      <c r="F217" s="59">
        <v>54</v>
      </c>
      <c r="G217" s="59">
        <v>49</v>
      </c>
    </row>
    <row r="218" spans="1:7" ht="18" customHeight="1" x14ac:dyDescent="0.25">
      <c r="A218" s="2" t="s">
        <v>71</v>
      </c>
      <c r="B218" s="91"/>
      <c r="C218" s="59">
        <v>10</v>
      </c>
      <c r="D218" s="59">
        <v>28</v>
      </c>
      <c r="E218" s="59">
        <v>46</v>
      </c>
      <c r="F218" s="59">
        <v>13</v>
      </c>
      <c r="G218" s="59">
        <v>20</v>
      </c>
    </row>
    <row r="219" spans="1:7" ht="18" customHeight="1" x14ac:dyDescent="0.25">
      <c r="A219" s="89" t="s">
        <v>62</v>
      </c>
      <c r="B219" s="2" t="s">
        <v>85</v>
      </c>
      <c r="C219" s="59">
        <v>20</v>
      </c>
      <c r="D219" s="59">
        <v>20</v>
      </c>
      <c r="E219" s="59">
        <v>25</v>
      </c>
      <c r="F219" s="59">
        <v>31</v>
      </c>
      <c r="G219" s="59">
        <v>31</v>
      </c>
    </row>
    <row r="220" spans="1:7" ht="18" customHeight="1" x14ac:dyDescent="0.25">
      <c r="A220" s="91"/>
      <c r="B220" s="2" t="s">
        <v>46</v>
      </c>
      <c r="C220" s="59">
        <v>24</v>
      </c>
      <c r="D220" s="59">
        <v>24</v>
      </c>
      <c r="E220" s="59">
        <v>51</v>
      </c>
      <c r="F220" s="59">
        <v>74</v>
      </c>
      <c r="G220" s="59">
        <v>70</v>
      </c>
    </row>
    <row r="221" spans="1:7" ht="18" customHeight="1" x14ac:dyDescent="0.25">
      <c r="A221" s="50"/>
      <c r="B221" s="51" t="s">
        <v>136</v>
      </c>
      <c r="C221" s="58">
        <f>+C212+C215</f>
        <v>176</v>
      </c>
      <c r="D221" s="58">
        <f>+D212+D215</f>
        <v>251</v>
      </c>
      <c r="E221" s="58">
        <f>+E212+E215</f>
        <v>322</v>
      </c>
      <c r="F221" s="58">
        <f>+F212+F215</f>
        <v>375</v>
      </c>
      <c r="G221" s="58">
        <f>+G212+G215</f>
        <v>356</v>
      </c>
    </row>
    <row r="222" spans="1:7" ht="8.25" customHeight="1" x14ac:dyDescent="0.25">
      <c r="A222" s="101"/>
      <c r="B222" s="101"/>
      <c r="C222" s="101"/>
      <c r="D222" s="101"/>
      <c r="E222" s="101"/>
      <c r="F222" s="101"/>
      <c r="G222" s="101"/>
    </row>
    <row r="223" spans="1:7" ht="10.5" hidden="1" customHeight="1" x14ac:dyDescent="0.25">
      <c r="A223" s="102"/>
      <c r="B223" s="102"/>
      <c r="C223" s="102"/>
      <c r="D223" s="102"/>
      <c r="E223" s="102"/>
      <c r="F223" s="102"/>
      <c r="G223" s="102"/>
    </row>
    <row r="224" spans="1:7" ht="15.6" x14ac:dyDescent="0.3">
      <c r="A224" s="93" t="s">
        <v>128</v>
      </c>
      <c r="B224" s="94"/>
      <c r="C224" s="94"/>
      <c r="D224" s="94"/>
      <c r="E224" s="94"/>
      <c r="F224" s="94"/>
      <c r="G224" s="95"/>
    </row>
    <row r="225" spans="1:7" ht="15.6" x14ac:dyDescent="0.3">
      <c r="A225" s="32" t="s">
        <v>129</v>
      </c>
      <c r="B225" s="32" t="s">
        <v>130</v>
      </c>
      <c r="C225" s="33">
        <v>2021</v>
      </c>
      <c r="D225" s="33">
        <v>2022</v>
      </c>
      <c r="E225" s="33">
        <v>2023</v>
      </c>
      <c r="F225" s="33">
        <v>2024</v>
      </c>
      <c r="G225" s="33">
        <v>2025</v>
      </c>
    </row>
    <row r="226" spans="1:7" x14ac:dyDescent="0.25">
      <c r="A226" s="89" t="s">
        <v>68</v>
      </c>
      <c r="B226" s="2" t="s">
        <v>63</v>
      </c>
      <c r="C226" s="59">
        <f>20+137</f>
        <v>157</v>
      </c>
      <c r="D226" s="59">
        <v>133</v>
      </c>
      <c r="E226" s="59">
        <v>126</v>
      </c>
      <c r="F226" s="59">
        <v>125</v>
      </c>
      <c r="G226" s="59">
        <v>126</v>
      </c>
    </row>
    <row r="227" spans="1:7" x14ac:dyDescent="0.25">
      <c r="A227" s="90"/>
      <c r="B227" s="2" t="s">
        <v>94</v>
      </c>
      <c r="C227" s="59">
        <f>16+17</f>
        <v>33</v>
      </c>
      <c r="D227" s="59">
        <v>33</v>
      </c>
      <c r="E227" s="59">
        <v>13</v>
      </c>
      <c r="F227" s="59">
        <v>17</v>
      </c>
      <c r="G227" s="59">
        <v>14</v>
      </c>
    </row>
    <row r="228" spans="1:7" x14ac:dyDescent="0.25">
      <c r="A228" s="91"/>
      <c r="B228" s="51" t="s">
        <v>136</v>
      </c>
      <c r="C228" s="58">
        <f>+C226+C227</f>
        <v>190</v>
      </c>
      <c r="D228" s="58">
        <f>+D226+D227</f>
        <v>166</v>
      </c>
      <c r="E228" s="58">
        <f>+E226+E227</f>
        <v>139</v>
      </c>
      <c r="F228" s="58">
        <f>+F226+F227</f>
        <v>142</v>
      </c>
      <c r="G228" s="58">
        <f>+G226+G227</f>
        <v>140</v>
      </c>
    </row>
    <row r="229" spans="1:7" x14ac:dyDescent="0.25">
      <c r="A229" s="148" t="s">
        <v>153</v>
      </c>
    </row>
    <row r="231" spans="1:7" x14ac:dyDescent="0.25">
      <c r="G231" s="68"/>
    </row>
  </sheetData>
  <mergeCells count="107">
    <mergeCell ref="A1:G5"/>
    <mergeCell ref="A7:G7"/>
    <mergeCell ref="A9:B9"/>
    <mergeCell ref="A10:A12"/>
    <mergeCell ref="A13:B13"/>
    <mergeCell ref="B14:B22"/>
    <mergeCell ref="A23:B23"/>
    <mergeCell ref="A24:G24"/>
    <mergeCell ref="A25:G25"/>
    <mergeCell ref="A27:B27"/>
    <mergeCell ref="A28:A31"/>
    <mergeCell ref="A32:B32"/>
    <mergeCell ref="A34:B34"/>
    <mergeCell ref="A35:G35"/>
    <mergeCell ref="A36:G36"/>
    <mergeCell ref="A38:B38"/>
    <mergeCell ref="A39:A45"/>
    <mergeCell ref="E39:E45"/>
    <mergeCell ref="A46:B46"/>
    <mergeCell ref="A47:A48"/>
    <mergeCell ref="E47:E48"/>
    <mergeCell ref="A49:B49"/>
    <mergeCell ref="A51:G51"/>
    <mergeCell ref="A53:B53"/>
    <mergeCell ref="A54:A56"/>
    <mergeCell ref="C54:C56"/>
    <mergeCell ref="D54:D56"/>
    <mergeCell ref="E54:E56"/>
    <mergeCell ref="A57:B57"/>
    <mergeCell ref="A58:A59"/>
    <mergeCell ref="H58:H59"/>
    <mergeCell ref="A60:A61"/>
    <mergeCell ref="H60:H61"/>
    <mergeCell ref="A62:A63"/>
    <mergeCell ref="H62:H63"/>
    <mergeCell ref="A65:A66"/>
    <mergeCell ref="H65:H66"/>
    <mergeCell ref="A67:A68"/>
    <mergeCell ref="H67:H68"/>
    <mergeCell ref="A69:A70"/>
    <mergeCell ref="H69:H70"/>
    <mergeCell ref="A71:A72"/>
    <mergeCell ref="H71:H72"/>
    <mergeCell ref="A73:B73"/>
    <mergeCell ref="A74:G74"/>
    <mergeCell ref="A75:G75"/>
    <mergeCell ref="A77:A78"/>
    <mergeCell ref="A79:B79"/>
    <mergeCell ref="A80:E80"/>
    <mergeCell ref="A81:G81"/>
    <mergeCell ref="A83:B83"/>
    <mergeCell ref="A84:A90"/>
    <mergeCell ref="A91:B91"/>
    <mergeCell ref="A93:B93"/>
    <mergeCell ref="A94:G94"/>
    <mergeCell ref="A95:G95"/>
    <mergeCell ref="A97:B97"/>
    <mergeCell ref="A98:A108"/>
    <mergeCell ref="A109:B109"/>
    <mergeCell ref="A110:A111"/>
    <mergeCell ref="A112:A114"/>
    <mergeCell ref="A115:A116"/>
    <mergeCell ref="A117:A118"/>
    <mergeCell ref="A119:A120"/>
    <mergeCell ref="A121:A122"/>
    <mergeCell ref="A124:B124"/>
    <mergeCell ref="A125:G125"/>
    <mergeCell ref="A126:G126"/>
    <mergeCell ref="A128:B128"/>
    <mergeCell ref="A129:A134"/>
    <mergeCell ref="A135:B135"/>
    <mergeCell ref="A136:A137"/>
    <mergeCell ref="A138:A139"/>
    <mergeCell ref="A140:A141"/>
    <mergeCell ref="A142:A143"/>
    <mergeCell ref="A144:A145"/>
    <mergeCell ref="A146:B146"/>
    <mergeCell ref="A147:G147"/>
    <mergeCell ref="A148:G148"/>
    <mergeCell ref="A150:B150"/>
    <mergeCell ref="A152:B152"/>
    <mergeCell ref="B153:B156"/>
    <mergeCell ref="A158:G158"/>
    <mergeCell ref="A159:G159"/>
    <mergeCell ref="A161:A167"/>
    <mergeCell ref="A168:B168"/>
    <mergeCell ref="A169:G169"/>
    <mergeCell ref="A170:G170"/>
    <mergeCell ref="A172:B172"/>
    <mergeCell ref="A173:A185"/>
    <mergeCell ref="A186:B186"/>
    <mergeCell ref="A226:A228"/>
    <mergeCell ref="A209:G209"/>
    <mergeCell ref="A210:G210"/>
    <mergeCell ref="A212:B212"/>
    <mergeCell ref="A213:A214"/>
    <mergeCell ref="A215:B215"/>
    <mergeCell ref="B216:B218"/>
    <mergeCell ref="A188:A190"/>
    <mergeCell ref="A191:B191"/>
    <mergeCell ref="A192:G192"/>
    <mergeCell ref="A193:G193"/>
    <mergeCell ref="A195:A207"/>
    <mergeCell ref="A208:B208"/>
    <mergeCell ref="A219:A220"/>
    <mergeCell ref="A222:G223"/>
    <mergeCell ref="A224:G224"/>
  </mergeCells>
  <printOptions horizontalCentered="1"/>
  <pageMargins left="0.70866141732283472" right="0.51181102362204722" top="0.35433070866141736" bottom="0.35433070866141736" header="0.59055118110236227" footer="0.43307086614173229"/>
  <pageSetup paperSize="5" scale="59" fitToHeight="30" orientation="portrait" r:id="rId1"/>
  <headerFooter>
    <oddFooter>&amp;L&amp;D</oddFooter>
  </headerFooter>
  <rowBreaks count="5" manualBreakCount="5">
    <brk id="49" max="6" man="1"/>
    <brk id="93" max="6" man="1"/>
    <brk id="124" max="6" man="1"/>
    <brk id="157" max="6" man="1"/>
    <brk id="191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4"/>
  <sheetViews>
    <sheetView view="pageBreakPreview" zoomScale="120" zoomScaleNormal="100" zoomScaleSheetLayoutView="120" workbookViewId="0">
      <selection activeCell="I134" sqref="I134"/>
    </sheetView>
  </sheetViews>
  <sheetFormatPr baseColWidth="10" defaultRowHeight="14.4" x14ac:dyDescent="0.3"/>
  <cols>
    <col min="1" max="1" width="19" style="8" customWidth="1"/>
    <col min="2" max="2" width="33.6640625" customWidth="1"/>
    <col min="3" max="3" width="8.44140625" style="81" customWidth="1"/>
    <col min="4" max="5" width="9.109375" style="81" customWidth="1"/>
    <col min="6" max="6" width="9.109375" style="82" customWidth="1"/>
    <col min="7" max="7" width="9.109375" style="81" customWidth="1"/>
  </cols>
  <sheetData>
    <row r="1" spans="1:12" ht="141.75" customHeight="1" x14ac:dyDescent="0.45">
      <c r="A1" s="83"/>
      <c r="B1" s="83"/>
      <c r="C1" s="83"/>
      <c r="D1" s="83"/>
      <c r="E1" s="83"/>
      <c r="F1" s="83"/>
      <c r="G1" s="83"/>
    </row>
    <row r="2" spans="1:12" x14ac:dyDescent="0.3">
      <c r="A2" s="5"/>
      <c r="B2" s="4"/>
      <c r="C2" s="69"/>
      <c r="D2" s="69"/>
      <c r="E2" s="69"/>
      <c r="F2" s="69"/>
      <c r="G2" s="69"/>
    </row>
    <row r="3" spans="1:12" s="1" customFormat="1" ht="17.25" customHeight="1" x14ac:dyDescent="0.25">
      <c r="A3" s="133" t="s">
        <v>72</v>
      </c>
      <c r="B3" s="133" t="s">
        <v>99</v>
      </c>
      <c r="C3" s="134" t="s">
        <v>95</v>
      </c>
      <c r="D3" s="134"/>
      <c r="E3" s="134"/>
      <c r="F3" s="134"/>
      <c r="G3" s="134"/>
    </row>
    <row r="4" spans="1:12" s="1" customFormat="1" ht="14.25" customHeight="1" x14ac:dyDescent="0.25">
      <c r="A4" s="133" t="s">
        <v>51</v>
      </c>
      <c r="B4" s="133" t="s">
        <v>51</v>
      </c>
      <c r="C4" s="9">
        <v>2021</v>
      </c>
      <c r="D4" s="9">
        <v>2022</v>
      </c>
      <c r="E4" s="9">
        <v>2023</v>
      </c>
      <c r="F4" s="9">
        <v>2024</v>
      </c>
      <c r="G4" s="9">
        <v>2025</v>
      </c>
    </row>
    <row r="5" spans="1:12" ht="15.9" customHeight="1" x14ac:dyDescent="0.3">
      <c r="A5" s="139" t="s">
        <v>65</v>
      </c>
      <c r="B5" s="2" t="s">
        <v>0</v>
      </c>
      <c r="C5" s="59">
        <v>1136</v>
      </c>
      <c r="D5" s="63">
        <v>1069</v>
      </c>
      <c r="E5" s="63">
        <v>1018</v>
      </c>
      <c r="F5" s="63">
        <v>1062</v>
      </c>
      <c r="G5" s="59">
        <v>959</v>
      </c>
      <c r="H5" s="15"/>
    </row>
    <row r="6" spans="1:12" ht="15.9" customHeight="1" x14ac:dyDescent="0.3">
      <c r="A6" s="139"/>
      <c r="B6" s="2" t="s">
        <v>1</v>
      </c>
      <c r="C6" s="59">
        <v>90</v>
      </c>
      <c r="D6" s="63">
        <v>67</v>
      </c>
      <c r="E6" s="63">
        <v>34</v>
      </c>
      <c r="F6" s="63">
        <v>39</v>
      </c>
      <c r="G6" s="59">
        <v>30</v>
      </c>
      <c r="H6" s="16"/>
    </row>
    <row r="7" spans="1:12" ht="15.9" customHeight="1" x14ac:dyDescent="0.3">
      <c r="A7" s="139"/>
      <c r="B7" s="2" t="s">
        <v>2</v>
      </c>
      <c r="C7" s="38">
        <v>75</v>
      </c>
      <c r="D7" s="70">
        <v>82</v>
      </c>
      <c r="E7" s="70">
        <v>46</v>
      </c>
      <c r="F7" s="70">
        <v>82</v>
      </c>
      <c r="G7" s="59">
        <v>55</v>
      </c>
      <c r="H7" s="17"/>
    </row>
    <row r="8" spans="1:12" ht="15.9" customHeight="1" x14ac:dyDescent="0.3">
      <c r="A8" s="139"/>
      <c r="B8" s="2" t="s">
        <v>14</v>
      </c>
      <c r="C8" s="59">
        <v>127</v>
      </c>
      <c r="D8" s="63">
        <v>109</v>
      </c>
      <c r="E8" s="63">
        <v>131</v>
      </c>
      <c r="F8" s="63">
        <v>136</v>
      </c>
      <c r="G8" s="59">
        <v>119</v>
      </c>
      <c r="H8" s="11"/>
    </row>
    <row r="9" spans="1:12" ht="15.9" customHeight="1" x14ac:dyDescent="0.3">
      <c r="A9" s="139"/>
      <c r="B9" s="2" t="s">
        <v>108</v>
      </c>
      <c r="C9" s="59">
        <v>0</v>
      </c>
      <c r="D9" s="63">
        <v>0</v>
      </c>
      <c r="E9" s="63">
        <v>0</v>
      </c>
      <c r="F9" s="63">
        <v>0</v>
      </c>
      <c r="G9" s="59">
        <v>18</v>
      </c>
      <c r="H9" s="11"/>
    </row>
    <row r="10" spans="1:12" ht="15.9" customHeight="1" x14ac:dyDescent="0.3">
      <c r="A10" s="139"/>
      <c r="B10" s="2" t="s">
        <v>19</v>
      </c>
      <c r="C10" s="59">
        <v>10</v>
      </c>
      <c r="D10" s="63">
        <v>7</v>
      </c>
      <c r="E10" s="63">
        <v>13</v>
      </c>
      <c r="F10" s="63">
        <v>6</v>
      </c>
      <c r="G10" s="59">
        <v>8</v>
      </c>
    </row>
    <row r="11" spans="1:12" ht="15.9" customHeight="1" x14ac:dyDescent="0.3">
      <c r="A11" s="139"/>
      <c r="B11" s="2" t="s">
        <v>20</v>
      </c>
      <c r="C11" s="59">
        <v>25</v>
      </c>
      <c r="D11" s="63">
        <v>19</v>
      </c>
      <c r="E11" s="63">
        <v>11</v>
      </c>
      <c r="F11" s="63">
        <v>11</v>
      </c>
      <c r="G11" s="59">
        <v>13</v>
      </c>
    </row>
    <row r="12" spans="1:12" ht="15.9" customHeight="1" x14ac:dyDescent="0.3">
      <c r="A12" s="139"/>
      <c r="B12" s="2" t="s">
        <v>21</v>
      </c>
      <c r="C12" s="59">
        <v>12</v>
      </c>
      <c r="D12" s="63">
        <v>22</v>
      </c>
      <c r="E12" s="63">
        <v>22</v>
      </c>
      <c r="F12" s="63">
        <v>12</v>
      </c>
      <c r="G12" s="59">
        <v>4</v>
      </c>
    </row>
    <row r="13" spans="1:12" ht="15.9" customHeight="1" x14ac:dyDescent="0.3">
      <c r="A13" s="139"/>
      <c r="B13" s="2" t="s">
        <v>22</v>
      </c>
      <c r="C13" s="59">
        <v>300</v>
      </c>
      <c r="D13" s="63">
        <v>444</v>
      </c>
      <c r="E13" s="63">
        <v>455</v>
      </c>
      <c r="F13" s="63">
        <v>345</v>
      </c>
      <c r="G13" s="59">
        <v>298</v>
      </c>
    </row>
    <row r="14" spans="1:12" ht="15.9" customHeight="1" x14ac:dyDescent="0.3">
      <c r="A14" s="139"/>
      <c r="B14" s="2" t="s">
        <v>23</v>
      </c>
      <c r="C14" s="59">
        <v>96</v>
      </c>
      <c r="D14" s="63">
        <v>100</v>
      </c>
      <c r="E14" s="63">
        <v>84</v>
      </c>
      <c r="F14" s="63">
        <v>52</v>
      </c>
      <c r="G14" s="59">
        <v>86</v>
      </c>
    </row>
    <row r="15" spans="1:12" ht="15.9" customHeight="1" x14ac:dyDescent="0.3">
      <c r="A15" s="139"/>
      <c r="B15" s="2" t="s">
        <v>24</v>
      </c>
      <c r="C15" s="59">
        <v>16</v>
      </c>
      <c r="D15" s="63">
        <v>23</v>
      </c>
      <c r="E15" s="63">
        <v>22</v>
      </c>
      <c r="F15" s="63">
        <v>13</v>
      </c>
      <c r="G15" s="59">
        <v>10</v>
      </c>
      <c r="L15" s="10"/>
    </row>
    <row r="16" spans="1:12" ht="15.9" customHeight="1" x14ac:dyDescent="0.3">
      <c r="A16" s="139"/>
      <c r="B16" s="2" t="s">
        <v>56</v>
      </c>
      <c r="C16" s="59">
        <v>14</v>
      </c>
      <c r="D16" s="63">
        <v>5</v>
      </c>
      <c r="E16" s="63">
        <v>9</v>
      </c>
      <c r="F16" s="63">
        <v>8</v>
      </c>
      <c r="G16" s="59">
        <v>7</v>
      </c>
    </row>
    <row r="17" spans="1:10" ht="15.9" customHeight="1" x14ac:dyDescent="0.3">
      <c r="A17" s="139"/>
      <c r="B17" s="2" t="s">
        <v>57</v>
      </c>
      <c r="C17" s="59">
        <v>10</v>
      </c>
      <c r="D17" s="63">
        <v>8</v>
      </c>
      <c r="E17" s="63">
        <v>15</v>
      </c>
      <c r="F17" s="63">
        <v>9</v>
      </c>
      <c r="G17" s="59">
        <v>16</v>
      </c>
    </row>
    <row r="18" spans="1:10" ht="15.9" customHeight="1" x14ac:dyDescent="0.3">
      <c r="A18" s="139"/>
      <c r="B18" s="2" t="s">
        <v>58</v>
      </c>
      <c r="C18" s="59">
        <v>22</v>
      </c>
      <c r="D18" s="63">
        <v>18</v>
      </c>
      <c r="E18" s="63">
        <v>16</v>
      </c>
      <c r="F18" s="63">
        <v>11</v>
      </c>
      <c r="G18" s="59">
        <v>17</v>
      </c>
    </row>
    <row r="19" spans="1:10" ht="15.9" customHeight="1" x14ac:dyDescent="0.3">
      <c r="A19" s="139"/>
      <c r="B19" s="2" t="s">
        <v>59</v>
      </c>
      <c r="C19" s="59">
        <v>72</v>
      </c>
      <c r="D19" s="63">
        <v>93</v>
      </c>
      <c r="E19" s="63">
        <v>93</v>
      </c>
      <c r="F19" s="63">
        <v>67</v>
      </c>
      <c r="G19" s="59">
        <v>85</v>
      </c>
    </row>
    <row r="20" spans="1:10" ht="15.9" customHeight="1" x14ac:dyDescent="0.3">
      <c r="A20" s="139"/>
      <c r="B20" s="2" t="s">
        <v>60</v>
      </c>
      <c r="C20" s="59">
        <v>22</v>
      </c>
      <c r="D20" s="63">
        <v>8</v>
      </c>
      <c r="E20" s="63">
        <v>16</v>
      </c>
      <c r="F20" s="63">
        <v>14</v>
      </c>
      <c r="G20" s="59">
        <v>13</v>
      </c>
    </row>
    <row r="21" spans="1:10" ht="15.9" customHeight="1" x14ac:dyDescent="0.3">
      <c r="A21" s="130" t="s">
        <v>98</v>
      </c>
      <c r="B21" s="130"/>
      <c r="C21" s="71">
        <v>2027</v>
      </c>
      <c r="D21" s="71">
        <v>2074</v>
      </c>
      <c r="E21" s="71">
        <v>1985</v>
      </c>
      <c r="F21" s="71">
        <v>1867</v>
      </c>
      <c r="G21" s="71">
        <f>SUM(G5:G20)</f>
        <v>1738</v>
      </c>
      <c r="H21" s="10"/>
      <c r="I21" s="10"/>
    </row>
    <row r="22" spans="1:10" ht="15.9" customHeight="1" x14ac:dyDescent="0.3">
      <c r="A22" s="137" t="s">
        <v>89</v>
      </c>
      <c r="B22" s="2" t="s">
        <v>5</v>
      </c>
      <c r="C22" s="59">
        <v>12</v>
      </c>
      <c r="D22" s="63">
        <v>25</v>
      </c>
      <c r="E22" s="135">
        <v>41</v>
      </c>
      <c r="F22" s="63">
        <v>24</v>
      </c>
      <c r="G22" s="59">
        <v>3</v>
      </c>
    </row>
    <row r="23" spans="1:10" ht="15.9" customHeight="1" x14ac:dyDescent="0.3">
      <c r="A23" s="138"/>
      <c r="B23" s="2" t="s">
        <v>70</v>
      </c>
      <c r="C23" s="59">
        <v>12</v>
      </c>
      <c r="D23" s="63">
        <v>18</v>
      </c>
      <c r="E23" s="136"/>
      <c r="F23" s="63">
        <v>17</v>
      </c>
      <c r="G23" s="59">
        <v>8</v>
      </c>
    </row>
    <row r="24" spans="1:10" ht="15.9" customHeight="1" x14ac:dyDescent="0.3">
      <c r="A24" s="130" t="s">
        <v>98</v>
      </c>
      <c r="B24" s="130"/>
      <c r="C24" s="71">
        <f>+C22+C23</f>
        <v>24</v>
      </c>
      <c r="D24" s="71">
        <f>+D22+D23</f>
        <v>43</v>
      </c>
      <c r="E24" s="71">
        <f>+E22+E23</f>
        <v>41</v>
      </c>
      <c r="F24" s="71">
        <f>+F22+F23</f>
        <v>41</v>
      </c>
      <c r="G24" s="71">
        <f>+G22+G23</f>
        <v>11</v>
      </c>
      <c r="H24" s="10"/>
    </row>
    <row r="25" spans="1:10" ht="15.9" customHeight="1" x14ac:dyDescent="0.3">
      <c r="A25" s="6" t="s">
        <v>51</v>
      </c>
      <c r="B25" s="2" t="s">
        <v>0</v>
      </c>
      <c r="C25" s="59">
        <v>49</v>
      </c>
      <c r="D25" s="59">
        <v>41</v>
      </c>
      <c r="E25" s="63">
        <v>48</v>
      </c>
      <c r="F25" s="63">
        <v>41</v>
      </c>
      <c r="G25" s="59">
        <v>43</v>
      </c>
    </row>
    <row r="26" spans="1:10" ht="15.9" customHeight="1" x14ac:dyDescent="0.3">
      <c r="A26" s="130" t="s">
        <v>98</v>
      </c>
      <c r="B26" s="130"/>
      <c r="C26" s="71">
        <v>49</v>
      </c>
      <c r="D26" s="71">
        <v>41</v>
      </c>
      <c r="E26" s="71">
        <v>48</v>
      </c>
      <c r="F26" s="71">
        <v>41</v>
      </c>
      <c r="G26" s="71">
        <f>+G25</f>
        <v>43</v>
      </c>
    </row>
    <row r="27" spans="1:10" ht="15.9" customHeight="1" x14ac:dyDescent="0.3">
      <c r="A27" s="140" t="s">
        <v>53</v>
      </c>
      <c r="B27" s="2" t="s">
        <v>0</v>
      </c>
      <c r="C27" s="59">
        <f>39+62</f>
        <v>101</v>
      </c>
      <c r="D27" s="63">
        <v>111</v>
      </c>
      <c r="E27" s="63">
        <v>75</v>
      </c>
      <c r="F27" s="59">
        <v>73</v>
      </c>
      <c r="G27" s="72">
        <v>46</v>
      </c>
    </row>
    <row r="28" spans="1:10" ht="15.9" customHeight="1" x14ac:dyDescent="0.3">
      <c r="A28" s="140"/>
      <c r="B28" s="2" t="s">
        <v>24</v>
      </c>
      <c r="C28" s="59">
        <f>15+36</f>
        <v>51</v>
      </c>
      <c r="D28" s="59">
        <v>29</v>
      </c>
      <c r="E28" s="63">
        <v>26</v>
      </c>
      <c r="F28" s="59">
        <v>28</v>
      </c>
      <c r="G28" s="59">
        <v>13</v>
      </c>
    </row>
    <row r="29" spans="1:10" ht="15.9" customHeight="1" x14ac:dyDescent="0.3">
      <c r="A29" s="140"/>
      <c r="B29" s="2" t="s">
        <v>22</v>
      </c>
      <c r="C29" s="59">
        <f>23+73</f>
        <v>96</v>
      </c>
      <c r="D29" s="59">
        <v>58</v>
      </c>
      <c r="E29" s="63">
        <v>54</v>
      </c>
      <c r="F29" s="59">
        <v>60</v>
      </c>
      <c r="G29" s="72">
        <v>38</v>
      </c>
    </row>
    <row r="30" spans="1:10" ht="15.9" customHeight="1" x14ac:dyDescent="0.3">
      <c r="A30" s="140"/>
      <c r="B30" s="2" t="s">
        <v>20</v>
      </c>
      <c r="C30" s="59">
        <f>5+4</f>
        <v>9</v>
      </c>
      <c r="D30" s="59" t="s">
        <v>73</v>
      </c>
      <c r="E30" s="63">
        <v>2</v>
      </c>
      <c r="F30" s="59">
        <v>5</v>
      </c>
      <c r="G30" s="72">
        <v>4</v>
      </c>
    </row>
    <row r="31" spans="1:10" ht="15.9" customHeight="1" x14ac:dyDescent="0.3">
      <c r="A31" s="140"/>
      <c r="B31" s="2" t="s">
        <v>12</v>
      </c>
      <c r="C31" s="59">
        <v>127</v>
      </c>
      <c r="D31" s="59">
        <v>71</v>
      </c>
      <c r="E31" s="63">
        <v>78</v>
      </c>
      <c r="F31" s="59">
        <v>13</v>
      </c>
      <c r="G31" s="73">
        <v>35</v>
      </c>
    </row>
    <row r="32" spans="1:10" ht="15.9" customHeight="1" x14ac:dyDescent="0.3">
      <c r="A32" s="140"/>
      <c r="B32" s="2" t="s">
        <v>13</v>
      </c>
      <c r="C32" s="59">
        <v>0</v>
      </c>
      <c r="D32" s="59">
        <v>100</v>
      </c>
      <c r="E32" s="63">
        <v>102</v>
      </c>
      <c r="F32" s="59">
        <v>16</v>
      </c>
      <c r="G32" s="73">
        <v>51</v>
      </c>
      <c r="H32" s="3"/>
      <c r="I32" s="3"/>
      <c r="J32" s="3"/>
    </row>
    <row r="33" spans="1:7" ht="15.9" customHeight="1" x14ac:dyDescent="0.3">
      <c r="A33" s="130" t="s">
        <v>98</v>
      </c>
      <c r="B33" s="130"/>
      <c r="C33" s="71">
        <f>SUM(C27:C32)</f>
        <v>384</v>
      </c>
      <c r="D33" s="71">
        <f>SUM(D27:D32)</f>
        <v>369</v>
      </c>
      <c r="E33" s="71">
        <f>SUM(E27:E32)</f>
        <v>337</v>
      </c>
      <c r="F33" s="71">
        <f>SUM(F27:F32)</f>
        <v>195</v>
      </c>
      <c r="G33" s="71">
        <f>SUM(G27:G32)</f>
        <v>187</v>
      </c>
    </row>
    <row r="34" spans="1:7" ht="15.9" customHeight="1" x14ac:dyDescent="0.3">
      <c r="A34" s="131" t="s">
        <v>50</v>
      </c>
      <c r="B34" s="2" t="s">
        <v>24</v>
      </c>
      <c r="C34" s="59">
        <f>37+55</f>
        <v>92</v>
      </c>
      <c r="D34" s="59">
        <v>92</v>
      </c>
      <c r="E34" s="63">
        <v>98</v>
      </c>
      <c r="F34" s="59">
        <v>77</v>
      </c>
      <c r="G34" s="59">
        <v>33</v>
      </c>
    </row>
    <row r="35" spans="1:7" ht="15.9" customHeight="1" x14ac:dyDescent="0.3">
      <c r="A35" s="131"/>
      <c r="B35" s="2" t="s">
        <v>22</v>
      </c>
      <c r="C35" s="59">
        <f>6+20</f>
        <v>26</v>
      </c>
      <c r="D35" s="59">
        <v>26</v>
      </c>
      <c r="E35" s="63">
        <v>49</v>
      </c>
      <c r="F35" s="59">
        <v>36</v>
      </c>
      <c r="G35" s="59">
        <v>17</v>
      </c>
    </row>
    <row r="36" spans="1:7" ht="15.9" customHeight="1" x14ac:dyDescent="0.3">
      <c r="A36" s="131"/>
      <c r="B36" s="2" t="s">
        <v>12</v>
      </c>
      <c r="C36" s="59">
        <v>0</v>
      </c>
      <c r="D36" s="59">
        <v>27</v>
      </c>
      <c r="E36" s="63">
        <v>44</v>
      </c>
      <c r="F36" s="59">
        <v>47</v>
      </c>
      <c r="G36" s="73">
        <v>46</v>
      </c>
    </row>
    <row r="37" spans="1:7" ht="15.9" customHeight="1" x14ac:dyDescent="0.3">
      <c r="A37" s="131"/>
      <c r="B37" s="2" t="s">
        <v>13</v>
      </c>
      <c r="C37" s="59">
        <v>100</v>
      </c>
      <c r="D37" s="59">
        <v>33</v>
      </c>
      <c r="E37" s="63">
        <v>34</v>
      </c>
      <c r="F37" s="73">
        <v>51</v>
      </c>
      <c r="G37" s="73">
        <v>45</v>
      </c>
    </row>
    <row r="38" spans="1:7" ht="15.9" customHeight="1" x14ac:dyDescent="0.3">
      <c r="A38" s="131"/>
      <c r="B38" s="2" t="s">
        <v>0</v>
      </c>
      <c r="C38" s="38">
        <f>22+37</f>
        <v>59</v>
      </c>
      <c r="D38" s="70">
        <v>52</v>
      </c>
      <c r="E38" s="70">
        <v>56</v>
      </c>
      <c r="F38" s="38">
        <v>49</v>
      </c>
      <c r="G38" s="74">
        <v>55</v>
      </c>
    </row>
    <row r="39" spans="1:7" ht="15.9" customHeight="1" x14ac:dyDescent="0.3">
      <c r="A39" s="130" t="s">
        <v>98</v>
      </c>
      <c r="B39" s="130"/>
      <c r="C39" s="71">
        <f>+C34+C35+C36+C38+C37</f>
        <v>277</v>
      </c>
      <c r="D39" s="71">
        <f>+D34+D35+D36+D38+D37</f>
        <v>230</v>
      </c>
      <c r="E39" s="71">
        <f>+E34+E35+E36+E38+E37</f>
        <v>281</v>
      </c>
      <c r="F39" s="71">
        <f>+F34+F35+F36+F38+F37</f>
        <v>260</v>
      </c>
      <c r="G39" s="71">
        <f>+G34+G35+G36+G38+G37</f>
        <v>196</v>
      </c>
    </row>
    <row r="40" spans="1:7" ht="15.9" customHeight="1" x14ac:dyDescent="0.3">
      <c r="A40" s="131" t="s">
        <v>61</v>
      </c>
      <c r="B40" s="2" t="s">
        <v>25</v>
      </c>
      <c r="C40" s="59">
        <f>19+16</f>
        <v>35</v>
      </c>
      <c r="D40" s="59">
        <v>30</v>
      </c>
      <c r="E40" s="63">
        <v>35</v>
      </c>
      <c r="F40" s="59">
        <v>32</v>
      </c>
      <c r="G40" s="59">
        <v>37</v>
      </c>
    </row>
    <row r="41" spans="1:7" ht="15.9" customHeight="1" x14ac:dyDescent="0.3">
      <c r="A41" s="131"/>
      <c r="B41" s="2" t="s">
        <v>28</v>
      </c>
      <c r="C41" s="59">
        <f>9+15</f>
        <v>24</v>
      </c>
      <c r="D41" s="59">
        <v>18</v>
      </c>
      <c r="E41" s="63">
        <v>19</v>
      </c>
      <c r="F41" s="59">
        <v>15</v>
      </c>
      <c r="G41" s="59">
        <v>17</v>
      </c>
    </row>
    <row r="42" spans="1:7" ht="15.9" customHeight="1" x14ac:dyDescent="0.3">
      <c r="A42" s="131"/>
      <c r="B42" s="2" t="s">
        <v>30</v>
      </c>
      <c r="C42" s="59">
        <v>51</v>
      </c>
      <c r="D42" s="59">
        <v>40</v>
      </c>
      <c r="E42" s="63">
        <v>43</v>
      </c>
      <c r="F42" s="59">
        <v>49</v>
      </c>
      <c r="G42" s="59">
        <v>33</v>
      </c>
    </row>
    <row r="43" spans="1:7" ht="15.9" customHeight="1" x14ac:dyDescent="0.3">
      <c r="A43" s="130" t="s">
        <v>98</v>
      </c>
      <c r="B43" s="130"/>
      <c r="C43" s="71">
        <f>+C40+C41+C42</f>
        <v>110</v>
      </c>
      <c r="D43" s="71">
        <f>+D40+D41+D42</f>
        <v>88</v>
      </c>
      <c r="E43" s="71">
        <f>+E40+E41+E42</f>
        <v>97</v>
      </c>
      <c r="F43" s="71">
        <f>+F40+F41+F42</f>
        <v>96</v>
      </c>
      <c r="G43" s="71">
        <f>+G40+G41+G42</f>
        <v>87</v>
      </c>
    </row>
    <row r="44" spans="1:7" ht="15.9" customHeight="1" x14ac:dyDescent="0.3">
      <c r="A44" s="131" t="s">
        <v>62</v>
      </c>
      <c r="B44" s="2" t="s">
        <v>30</v>
      </c>
      <c r="C44" s="59">
        <f>58+50</f>
        <v>108</v>
      </c>
      <c r="D44" s="59">
        <v>102</v>
      </c>
      <c r="E44" s="63">
        <v>97</v>
      </c>
      <c r="F44" s="59">
        <v>120</v>
      </c>
      <c r="G44" s="59">
        <v>95</v>
      </c>
    </row>
    <row r="45" spans="1:7" ht="15.9" customHeight="1" x14ac:dyDescent="0.3">
      <c r="A45" s="131"/>
      <c r="B45" s="2" t="s">
        <v>85</v>
      </c>
      <c r="C45" s="59">
        <f>5+19</f>
        <v>24</v>
      </c>
      <c r="D45" s="59">
        <v>20</v>
      </c>
      <c r="E45" s="63">
        <v>25</v>
      </c>
      <c r="F45" s="59">
        <v>31</v>
      </c>
      <c r="G45" s="72">
        <v>31</v>
      </c>
    </row>
    <row r="46" spans="1:7" ht="15.9" customHeight="1" x14ac:dyDescent="0.3">
      <c r="A46" s="131"/>
      <c r="B46" s="2" t="s">
        <v>46</v>
      </c>
      <c r="C46" s="59">
        <f>0+20</f>
        <v>20</v>
      </c>
      <c r="D46" s="59">
        <v>24</v>
      </c>
      <c r="E46" s="63">
        <v>51</v>
      </c>
      <c r="F46" s="59">
        <v>74</v>
      </c>
      <c r="G46" s="72">
        <v>70</v>
      </c>
    </row>
    <row r="47" spans="1:7" ht="15.9" customHeight="1" x14ac:dyDescent="0.3">
      <c r="A47" s="130" t="s">
        <v>98</v>
      </c>
      <c r="B47" s="130"/>
      <c r="C47" s="71">
        <f>+C44+C45+C46</f>
        <v>152</v>
      </c>
      <c r="D47" s="71">
        <f>+D44+D45+D46</f>
        <v>146</v>
      </c>
      <c r="E47" s="71">
        <f>+E44+E45+E46</f>
        <v>173</v>
      </c>
      <c r="F47" s="71">
        <f>SUM(F44:F46)</f>
        <v>225</v>
      </c>
      <c r="G47" s="71">
        <f>SUM(G44:G46)</f>
        <v>196</v>
      </c>
    </row>
    <row r="48" spans="1:7" ht="15.9" customHeight="1" x14ac:dyDescent="0.3">
      <c r="A48" s="131" t="s">
        <v>48</v>
      </c>
      <c r="B48" s="2" t="s">
        <v>0</v>
      </c>
      <c r="C48" s="59">
        <f>28+27</f>
        <v>55</v>
      </c>
      <c r="D48" s="63">
        <v>44</v>
      </c>
      <c r="E48" s="63">
        <v>43</v>
      </c>
      <c r="F48" s="59">
        <v>39</v>
      </c>
      <c r="G48" s="72">
        <v>38</v>
      </c>
    </row>
    <row r="49" spans="1:7" ht="15.9" customHeight="1" x14ac:dyDescent="0.3">
      <c r="A49" s="131"/>
      <c r="B49" s="2" t="s">
        <v>78</v>
      </c>
      <c r="C49" s="59">
        <f>15+13</f>
        <v>28</v>
      </c>
      <c r="D49" s="59">
        <v>17</v>
      </c>
      <c r="E49" s="63">
        <v>20</v>
      </c>
      <c r="F49" s="59">
        <v>15</v>
      </c>
      <c r="G49" s="72">
        <v>25</v>
      </c>
    </row>
    <row r="50" spans="1:7" ht="15.9" customHeight="1" x14ac:dyDescent="0.3">
      <c r="A50" s="131"/>
      <c r="B50" s="2" t="s">
        <v>46</v>
      </c>
      <c r="C50" s="59">
        <f>3+11</f>
        <v>14</v>
      </c>
      <c r="D50" s="59">
        <v>14</v>
      </c>
      <c r="E50" s="63">
        <v>31</v>
      </c>
      <c r="F50" s="59">
        <v>40</v>
      </c>
      <c r="G50" s="72">
        <v>36</v>
      </c>
    </row>
    <row r="51" spans="1:7" ht="15.9" customHeight="1" x14ac:dyDescent="0.3">
      <c r="A51" s="131"/>
      <c r="B51" s="2" t="s">
        <v>12</v>
      </c>
      <c r="C51" s="118">
        <f>20+69</f>
        <v>89</v>
      </c>
      <c r="D51" s="118">
        <v>112</v>
      </c>
      <c r="E51" s="63">
        <v>88</v>
      </c>
      <c r="F51" s="59">
        <v>104</v>
      </c>
      <c r="G51" s="144">
        <v>66</v>
      </c>
    </row>
    <row r="52" spans="1:7" ht="15.9" customHeight="1" x14ac:dyDescent="0.3">
      <c r="A52" s="131"/>
      <c r="B52" s="2" t="s">
        <v>13</v>
      </c>
      <c r="C52" s="119"/>
      <c r="D52" s="119"/>
      <c r="E52" s="63">
        <v>51</v>
      </c>
      <c r="F52" s="59">
        <v>29</v>
      </c>
      <c r="G52" s="144"/>
    </row>
    <row r="53" spans="1:7" ht="15.9" customHeight="1" x14ac:dyDescent="0.3">
      <c r="A53" s="130" t="s">
        <v>98</v>
      </c>
      <c r="B53" s="130"/>
      <c r="C53" s="71">
        <f>+C48+C49+C50+C51</f>
        <v>186</v>
      </c>
      <c r="D53" s="71">
        <f>+D48+D49+D50+D51</f>
        <v>187</v>
      </c>
      <c r="E53" s="71">
        <f>SUM(E48:E52)</f>
        <v>233</v>
      </c>
      <c r="F53" s="71">
        <f>SUM(F48:F52)</f>
        <v>227</v>
      </c>
      <c r="G53" s="71">
        <f>SUM(G48:G52)</f>
        <v>165</v>
      </c>
    </row>
    <row r="54" spans="1:7" ht="20.25" customHeight="1" x14ac:dyDescent="0.3">
      <c r="A54" s="141" t="s">
        <v>102</v>
      </c>
      <c r="B54" s="2" t="s">
        <v>28</v>
      </c>
      <c r="C54" s="59">
        <f>40+27</f>
        <v>67</v>
      </c>
      <c r="D54" s="59">
        <v>45</v>
      </c>
      <c r="E54" s="63">
        <v>46</v>
      </c>
      <c r="F54" s="59">
        <v>55</v>
      </c>
      <c r="G54" s="75">
        <v>39</v>
      </c>
    </row>
    <row r="55" spans="1:7" ht="22.5" customHeight="1" x14ac:dyDescent="0.3">
      <c r="A55" s="142"/>
      <c r="B55" s="2" t="s">
        <v>25</v>
      </c>
      <c r="C55" s="59" t="s">
        <v>73</v>
      </c>
      <c r="D55" s="59">
        <v>34</v>
      </c>
      <c r="E55" s="63">
        <v>28</v>
      </c>
      <c r="F55" s="59">
        <v>49</v>
      </c>
      <c r="G55" s="59">
        <v>39</v>
      </c>
    </row>
    <row r="56" spans="1:7" ht="15.9" customHeight="1" x14ac:dyDescent="0.3">
      <c r="A56" s="130" t="s">
        <v>98</v>
      </c>
      <c r="B56" s="130"/>
      <c r="C56" s="71">
        <f>+C54</f>
        <v>67</v>
      </c>
      <c r="D56" s="71">
        <f>+D54+D55</f>
        <v>79</v>
      </c>
      <c r="E56" s="71">
        <f>+E54+E55</f>
        <v>74</v>
      </c>
      <c r="F56" s="71">
        <f>+F54+F55</f>
        <v>104</v>
      </c>
      <c r="G56" s="71">
        <f>+G54+G55</f>
        <v>78</v>
      </c>
    </row>
    <row r="57" spans="1:7" ht="15.9" customHeight="1" x14ac:dyDescent="0.3">
      <c r="A57" s="14" t="s">
        <v>106</v>
      </c>
      <c r="B57" s="2" t="s">
        <v>107</v>
      </c>
      <c r="C57" s="76">
        <v>0</v>
      </c>
      <c r="D57" s="76">
        <v>0</v>
      </c>
      <c r="E57" s="76">
        <v>0</v>
      </c>
      <c r="F57" s="63">
        <v>20</v>
      </c>
      <c r="G57" s="76">
        <v>20</v>
      </c>
    </row>
    <row r="58" spans="1:7" ht="15.9" customHeight="1" x14ac:dyDescent="0.3">
      <c r="A58" s="130" t="s">
        <v>98</v>
      </c>
      <c r="B58" s="130"/>
      <c r="C58" s="71">
        <f>+C57</f>
        <v>0</v>
      </c>
      <c r="D58" s="71">
        <f>+D57</f>
        <v>0</v>
      </c>
      <c r="E58" s="71">
        <f>+E57</f>
        <v>0</v>
      </c>
      <c r="F58" s="71">
        <f>+F57</f>
        <v>20</v>
      </c>
      <c r="G58" s="71">
        <f>+G57</f>
        <v>20</v>
      </c>
    </row>
    <row r="59" spans="1:7" ht="15.9" customHeight="1" x14ac:dyDescent="0.3">
      <c r="A59" s="131" t="s">
        <v>52</v>
      </c>
      <c r="B59" s="2" t="s">
        <v>24</v>
      </c>
      <c r="C59" s="59">
        <f>3+5</f>
        <v>8</v>
      </c>
      <c r="D59" s="59">
        <v>29</v>
      </c>
      <c r="E59" s="63">
        <v>33</v>
      </c>
      <c r="F59" s="59">
        <v>15</v>
      </c>
      <c r="G59" s="59">
        <v>12</v>
      </c>
    </row>
    <row r="60" spans="1:7" ht="15.9" customHeight="1" x14ac:dyDescent="0.3">
      <c r="A60" s="131"/>
      <c r="B60" s="2" t="s">
        <v>22</v>
      </c>
      <c r="C60" s="59">
        <f>8+34</f>
        <v>42</v>
      </c>
      <c r="D60" s="59">
        <v>47</v>
      </c>
      <c r="E60" s="63">
        <v>56</v>
      </c>
      <c r="F60" s="59">
        <v>35</v>
      </c>
      <c r="G60" s="59">
        <v>41</v>
      </c>
    </row>
    <row r="61" spans="1:7" ht="15.9" customHeight="1" x14ac:dyDescent="0.3">
      <c r="A61" s="131"/>
      <c r="B61" s="2" t="s">
        <v>12</v>
      </c>
      <c r="C61" s="118">
        <f>35+49</f>
        <v>84</v>
      </c>
      <c r="D61" s="59">
        <v>26</v>
      </c>
      <c r="E61" s="63">
        <v>23</v>
      </c>
      <c r="F61" s="59">
        <v>15</v>
      </c>
      <c r="G61" s="73">
        <v>0</v>
      </c>
    </row>
    <row r="62" spans="1:7" ht="15.9" customHeight="1" x14ac:dyDescent="0.3">
      <c r="A62" s="131"/>
      <c r="B62" s="2" t="s">
        <v>13</v>
      </c>
      <c r="C62" s="119"/>
      <c r="D62" s="59">
        <v>60</v>
      </c>
      <c r="E62" s="63">
        <v>64</v>
      </c>
      <c r="F62" s="59">
        <v>68</v>
      </c>
      <c r="G62" s="73">
        <v>46</v>
      </c>
    </row>
    <row r="63" spans="1:7" ht="15.9" customHeight="1" x14ac:dyDescent="0.3">
      <c r="A63" s="130" t="s">
        <v>98</v>
      </c>
      <c r="B63" s="130"/>
      <c r="C63" s="71">
        <f>+C59+C60+C61</f>
        <v>134</v>
      </c>
      <c r="D63" s="71">
        <f>+D59+D60+D61+D62</f>
        <v>162</v>
      </c>
      <c r="E63" s="71">
        <f>+E59+E60+E61+E62</f>
        <v>176</v>
      </c>
      <c r="F63" s="71">
        <f>+F59+F60+F61+F62</f>
        <v>133</v>
      </c>
      <c r="G63" s="71">
        <f>+G59+G60+G61+G62</f>
        <v>99</v>
      </c>
    </row>
    <row r="64" spans="1:7" ht="15.9" customHeight="1" x14ac:dyDescent="0.3">
      <c r="A64" s="129" t="s">
        <v>47</v>
      </c>
      <c r="B64" s="2" t="s">
        <v>0</v>
      </c>
      <c r="C64" s="59">
        <f>32+48</f>
        <v>80</v>
      </c>
      <c r="D64" s="63">
        <v>87</v>
      </c>
      <c r="E64" s="63">
        <v>90</v>
      </c>
      <c r="F64" s="59">
        <v>80</v>
      </c>
      <c r="G64" s="72">
        <v>76</v>
      </c>
    </row>
    <row r="65" spans="1:7" ht="15.9" customHeight="1" x14ac:dyDescent="0.3">
      <c r="A65" s="129"/>
      <c r="B65" s="2" t="s">
        <v>25</v>
      </c>
      <c r="C65" s="59">
        <f>23+19</f>
        <v>42</v>
      </c>
      <c r="D65" s="59">
        <v>63</v>
      </c>
      <c r="E65" s="63">
        <v>60</v>
      </c>
      <c r="F65" s="59">
        <v>88</v>
      </c>
      <c r="G65" s="59">
        <v>62</v>
      </c>
    </row>
    <row r="66" spans="1:7" ht="15.9" customHeight="1" x14ac:dyDescent="0.3">
      <c r="A66" s="129"/>
      <c r="B66" s="2" t="s">
        <v>28</v>
      </c>
      <c r="C66" s="59">
        <f>19+20</f>
        <v>39</v>
      </c>
      <c r="D66" s="59">
        <v>50</v>
      </c>
      <c r="E66" s="63">
        <v>89</v>
      </c>
      <c r="F66" s="59">
        <v>65</v>
      </c>
      <c r="G66" s="59">
        <v>41</v>
      </c>
    </row>
    <row r="67" spans="1:7" ht="15.9" customHeight="1" x14ac:dyDescent="0.3">
      <c r="A67" s="130" t="s">
        <v>98</v>
      </c>
      <c r="B67" s="130"/>
      <c r="C67" s="71">
        <f>+C64+C65+C66</f>
        <v>161</v>
      </c>
      <c r="D67" s="71">
        <f>+D64+D65+D66</f>
        <v>200</v>
      </c>
      <c r="E67" s="71">
        <f>+E64+E65+E66</f>
        <v>239</v>
      </c>
      <c r="F67" s="71">
        <f>+F64+F65+F66</f>
        <v>233</v>
      </c>
      <c r="G67" s="71">
        <f>+G64+G65+G66</f>
        <v>179</v>
      </c>
    </row>
    <row r="68" spans="1:7" ht="15.9" customHeight="1" x14ac:dyDescent="0.3">
      <c r="A68" s="131" t="s">
        <v>71</v>
      </c>
      <c r="B68" s="2" t="s">
        <v>46</v>
      </c>
      <c r="C68" s="59">
        <f>0+10</f>
        <v>10</v>
      </c>
      <c r="D68" s="59">
        <v>28</v>
      </c>
      <c r="E68" s="63">
        <v>46</v>
      </c>
      <c r="F68" s="59">
        <v>13</v>
      </c>
      <c r="G68" s="59">
        <v>20</v>
      </c>
    </row>
    <row r="69" spans="1:7" ht="15.9" customHeight="1" x14ac:dyDescent="0.3">
      <c r="A69" s="131"/>
      <c r="B69" s="2" t="s">
        <v>0</v>
      </c>
      <c r="C69" s="59">
        <f>27+34</f>
        <v>61</v>
      </c>
      <c r="D69" s="63">
        <v>50</v>
      </c>
      <c r="E69" s="63">
        <v>36</v>
      </c>
      <c r="F69" s="59">
        <v>36</v>
      </c>
      <c r="G69" s="72">
        <v>21</v>
      </c>
    </row>
    <row r="70" spans="1:7" ht="15.9" customHeight="1" x14ac:dyDescent="0.3">
      <c r="A70" s="130" t="s">
        <v>98</v>
      </c>
      <c r="B70" s="130"/>
      <c r="C70" s="71">
        <f>+C68+C69</f>
        <v>71</v>
      </c>
      <c r="D70" s="71">
        <f>+D68+D69</f>
        <v>78</v>
      </c>
      <c r="E70" s="71">
        <f>+E68+E69</f>
        <v>82</v>
      </c>
      <c r="F70" s="71">
        <f>+F68+F69</f>
        <v>49</v>
      </c>
      <c r="G70" s="71">
        <f>+G68+G69</f>
        <v>41</v>
      </c>
    </row>
    <row r="71" spans="1:7" ht="15.9" customHeight="1" x14ac:dyDescent="0.3">
      <c r="A71" s="131" t="s">
        <v>49</v>
      </c>
      <c r="B71" s="2" t="s">
        <v>0</v>
      </c>
      <c r="C71" s="59">
        <f>33+48</f>
        <v>81</v>
      </c>
      <c r="D71" s="63">
        <v>75</v>
      </c>
      <c r="E71" s="63">
        <v>57</v>
      </c>
      <c r="F71" s="59">
        <v>60</v>
      </c>
      <c r="G71" s="74">
        <v>50</v>
      </c>
    </row>
    <row r="72" spans="1:7" ht="15.9" customHeight="1" x14ac:dyDescent="0.3">
      <c r="A72" s="131"/>
      <c r="B72" s="2" t="s">
        <v>24</v>
      </c>
      <c r="C72" s="59">
        <f>19+62</f>
        <v>81</v>
      </c>
      <c r="D72" s="59">
        <v>56</v>
      </c>
      <c r="E72" s="63">
        <v>94</v>
      </c>
      <c r="F72" s="59">
        <v>63</v>
      </c>
      <c r="G72" s="59">
        <v>40</v>
      </c>
    </row>
    <row r="73" spans="1:7" ht="15.9" customHeight="1" x14ac:dyDescent="0.3">
      <c r="A73" s="131"/>
      <c r="B73" s="2" t="s">
        <v>22</v>
      </c>
      <c r="C73" s="59">
        <f>5+10</f>
        <v>15</v>
      </c>
      <c r="D73" s="59">
        <v>113</v>
      </c>
      <c r="E73" s="63">
        <v>59</v>
      </c>
      <c r="F73" s="59">
        <v>42</v>
      </c>
      <c r="G73" s="59">
        <v>46</v>
      </c>
    </row>
    <row r="74" spans="1:7" ht="15.9" customHeight="1" x14ac:dyDescent="0.3">
      <c r="A74" s="131"/>
      <c r="B74" s="2" t="s">
        <v>30</v>
      </c>
      <c r="C74" s="59">
        <v>45</v>
      </c>
      <c r="D74" s="59">
        <v>44</v>
      </c>
      <c r="E74" s="63">
        <v>47</v>
      </c>
      <c r="F74" s="59">
        <v>28</v>
      </c>
      <c r="G74" s="59">
        <v>35</v>
      </c>
    </row>
    <row r="75" spans="1:7" ht="15.9" customHeight="1" x14ac:dyDescent="0.3">
      <c r="A75" s="131"/>
      <c r="B75" s="2" t="s">
        <v>46</v>
      </c>
      <c r="C75" s="59">
        <f>2+18</f>
        <v>20</v>
      </c>
      <c r="D75" s="59">
        <v>20</v>
      </c>
      <c r="E75" s="63">
        <v>52</v>
      </c>
      <c r="F75" s="59">
        <v>54</v>
      </c>
      <c r="G75" s="59">
        <v>49</v>
      </c>
    </row>
    <row r="76" spans="1:7" ht="15.9" customHeight="1" x14ac:dyDescent="0.3">
      <c r="A76" s="131"/>
      <c r="B76" s="2" t="s">
        <v>12</v>
      </c>
      <c r="C76" s="118">
        <f>29+30</f>
        <v>59</v>
      </c>
      <c r="D76" s="59">
        <v>33</v>
      </c>
      <c r="E76" s="63">
        <v>11</v>
      </c>
      <c r="F76" s="59">
        <v>32</v>
      </c>
      <c r="G76" s="73">
        <v>22</v>
      </c>
    </row>
    <row r="77" spans="1:7" ht="15.9" customHeight="1" x14ac:dyDescent="0.3">
      <c r="A77" s="131"/>
      <c r="B77" s="2" t="s">
        <v>13</v>
      </c>
      <c r="C77" s="119"/>
      <c r="D77" s="59">
        <v>57</v>
      </c>
      <c r="E77" s="63">
        <v>20</v>
      </c>
      <c r="F77" s="59">
        <v>61</v>
      </c>
      <c r="G77" s="73">
        <v>36</v>
      </c>
    </row>
    <row r="78" spans="1:7" ht="15.9" customHeight="1" x14ac:dyDescent="0.3">
      <c r="A78" s="130" t="s">
        <v>98</v>
      </c>
      <c r="B78" s="130"/>
      <c r="C78" s="71">
        <f>+C71+C72+C73+C74+C75+C76</f>
        <v>301</v>
      </c>
      <c r="D78" s="71">
        <f>+D71+D72+D73+D74+D75+D76+D77</f>
        <v>398</v>
      </c>
      <c r="E78" s="71">
        <f>+E71+E72+E73+E74+E75+E76+E77</f>
        <v>340</v>
      </c>
      <c r="F78" s="71">
        <f>+F71+F72+F73+F74+F75+F76+F77</f>
        <v>340</v>
      </c>
      <c r="G78" s="71">
        <f>+G71+G72+G73+G74+G75+G76+G77</f>
        <v>278</v>
      </c>
    </row>
    <row r="79" spans="1:7" ht="15.9" customHeight="1" x14ac:dyDescent="0.3">
      <c r="A79" s="143" t="s">
        <v>64</v>
      </c>
      <c r="B79" s="2" t="s">
        <v>0</v>
      </c>
      <c r="C79" s="59">
        <f>25+14</f>
        <v>39</v>
      </c>
      <c r="D79" s="63">
        <v>21</v>
      </c>
      <c r="E79" s="63">
        <v>39</v>
      </c>
      <c r="F79" s="59">
        <v>18</v>
      </c>
      <c r="G79" s="74">
        <v>28</v>
      </c>
    </row>
    <row r="80" spans="1:7" ht="15.9" customHeight="1" x14ac:dyDescent="0.3">
      <c r="A80" s="143"/>
      <c r="B80" s="2" t="s">
        <v>24</v>
      </c>
      <c r="C80" s="59">
        <f>13+21</f>
        <v>34</v>
      </c>
      <c r="D80" s="59">
        <v>38</v>
      </c>
      <c r="E80" s="63">
        <v>75</v>
      </c>
      <c r="F80" s="59">
        <v>32</v>
      </c>
      <c r="G80" s="59">
        <v>12</v>
      </c>
    </row>
    <row r="81" spans="1:8" ht="15.9" customHeight="1" x14ac:dyDescent="0.3">
      <c r="A81" s="143"/>
      <c r="B81" s="2" t="s">
        <v>23</v>
      </c>
      <c r="C81" s="59">
        <f>3+7</f>
        <v>10</v>
      </c>
      <c r="D81" s="59">
        <v>8</v>
      </c>
      <c r="E81" s="63">
        <v>10</v>
      </c>
      <c r="F81" s="59">
        <v>3</v>
      </c>
      <c r="G81" s="59">
        <v>5</v>
      </c>
    </row>
    <row r="82" spans="1:8" ht="15.9" customHeight="1" x14ac:dyDescent="0.3">
      <c r="A82" s="143"/>
      <c r="B82" s="2" t="s">
        <v>30</v>
      </c>
      <c r="C82" s="59">
        <f>27+35</f>
        <v>62</v>
      </c>
      <c r="D82" s="59">
        <v>66</v>
      </c>
      <c r="E82" s="63">
        <v>80</v>
      </c>
      <c r="F82" s="59">
        <v>56</v>
      </c>
      <c r="G82" s="59">
        <v>53</v>
      </c>
      <c r="H82" s="12"/>
    </row>
    <row r="83" spans="1:8" ht="15.9" customHeight="1" x14ac:dyDescent="0.3">
      <c r="A83" s="130" t="s">
        <v>98</v>
      </c>
      <c r="B83" s="130"/>
      <c r="C83" s="71">
        <f>+C79+C80+C81+C82</f>
        <v>145</v>
      </c>
      <c r="D83" s="71">
        <f>+D79+D80+D81+D82</f>
        <v>133</v>
      </c>
      <c r="E83" s="71">
        <f>+E79+E80+E81+E82</f>
        <v>204</v>
      </c>
      <c r="F83" s="71">
        <f>+F79+F80+F81+F82</f>
        <v>109</v>
      </c>
      <c r="G83" s="71">
        <f>+G79+G80+G81+G82</f>
        <v>98</v>
      </c>
    </row>
    <row r="84" spans="1:8" ht="15.9" customHeight="1" x14ac:dyDescent="0.3">
      <c r="A84" s="129" t="s">
        <v>68</v>
      </c>
      <c r="B84" s="2" t="s">
        <v>25</v>
      </c>
      <c r="C84" s="59">
        <f>13+19</f>
        <v>32</v>
      </c>
      <c r="D84" s="59">
        <v>318</v>
      </c>
      <c r="E84" s="63">
        <v>373</v>
      </c>
      <c r="F84" s="59">
        <v>353</v>
      </c>
      <c r="G84" s="74">
        <v>258</v>
      </c>
    </row>
    <row r="85" spans="1:8" ht="15.9" customHeight="1" x14ac:dyDescent="0.3">
      <c r="A85" s="129"/>
      <c r="B85" s="2" t="s">
        <v>26</v>
      </c>
      <c r="C85" s="59">
        <f>7+9</f>
        <v>16</v>
      </c>
      <c r="D85" s="59">
        <v>22</v>
      </c>
      <c r="E85" s="63">
        <v>31</v>
      </c>
      <c r="F85" s="59">
        <v>40</v>
      </c>
      <c r="G85" s="74">
        <v>23</v>
      </c>
    </row>
    <row r="86" spans="1:8" ht="15.9" customHeight="1" x14ac:dyDescent="0.3">
      <c r="A86" s="129"/>
      <c r="B86" s="2" t="s">
        <v>27</v>
      </c>
      <c r="C86" s="59">
        <f>40+26</f>
        <v>66</v>
      </c>
      <c r="D86" s="59">
        <v>5</v>
      </c>
      <c r="E86" s="63">
        <v>13</v>
      </c>
      <c r="F86" s="59">
        <v>6</v>
      </c>
      <c r="G86" s="74">
        <v>2</v>
      </c>
    </row>
    <row r="87" spans="1:8" ht="15.9" customHeight="1" x14ac:dyDescent="0.3">
      <c r="A87" s="129"/>
      <c r="B87" s="2" t="s">
        <v>28</v>
      </c>
      <c r="C87" s="59">
        <f>65+141</f>
        <v>206</v>
      </c>
      <c r="D87" s="59">
        <v>35</v>
      </c>
      <c r="E87" s="63">
        <v>39</v>
      </c>
      <c r="F87" s="59">
        <v>34</v>
      </c>
      <c r="G87" s="74">
        <v>23</v>
      </c>
    </row>
    <row r="88" spans="1:8" ht="15.9" customHeight="1" x14ac:dyDescent="0.3">
      <c r="A88" s="129"/>
      <c r="B88" s="2" t="s">
        <v>29</v>
      </c>
      <c r="C88" s="59">
        <f>13+22</f>
        <v>35</v>
      </c>
      <c r="D88" s="59">
        <v>165</v>
      </c>
      <c r="E88" s="63">
        <v>126</v>
      </c>
      <c r="F88" s="59">
        <v>142</v>
      </c>
      <c r="G88" s="74">
        <v>75</v>
      </c>
    </row>
    <row r="89" spans="1:8" ht="15.9" customHeight="1" x14ac:dyDescent="0.3">
      <c r="A89" s="129"/>
      <c r="B89" s="2" t="s">
        <v>83</v>
      </c>
      <c r="C89" s="59">
        <v>0</v>
      </c>
      <c r="D89" s="59">
        <v>27</v>
      </c>
      <c r="E89" s="63">
        <v>35</v>
      </c>
      <c r="F89" s="59">
        <v>27</v>
      </c>
      <c r="G89" s="74">
        <v>22</v>
      </c>
    </row>
    <row r="90" spans="1:8" ht="15.9" customHeight="1" x14ac:dyDescent="0.3">
      <c r="A90" s="129"/>
      <c r="B90" s="2" t="s">
        <v>34</v>
      </c>
      <c r="C90" s="59">
        <f>130+439</f>
        <v>569</v>
      </c>
      <c r="D90" s="59">
        <v>355</v>
      </c>
      <c r="E90" s="63">
        <v>804</v>
      </c>
      <c r="F90" s="59">
        <v>469</v>
      </c>
      <c r="G90" s="74">
        <v>384</v>
      </c>
    </row>
    <row r="91" spans="1:8" ht="15.9" customHeight="1" x14ac:dyDescent="0.3">
      <c r="A91" s="129"/>
      <c r="B91" s="2" t="s">
        <v>104</v>
      </c>
      <c r="C91" s="59">
        <f>73+162</f>
        <v>235</v>
      </c>
      <c r="D91" s="59">
        <v>66</v>
      </c>
      <c r="E91" s="63">
        <v>130</v>
      </c>
      <c r="F91" s="59">
        <v>160</v>
      </c>
      <c r="G91" s="74">
        <v>299</v>
      </c>
    </row>
    <row r="92" spans="1:8" ht="21" customHeight="1" x14ac:dyDescent="0.3">
      <c r="A92" s="129"/>
      <c r="B92" s="2" t="s">
        <v>100</v>
      </c>
      <c r="C92" s="59">
        <f>73+31</f>
        <v>104</v>
      </c>
      <c r="D92" s="59">
        <v>40</v>
      </c>
      <c r="E92" s="63">
        <v>79</v>
      </c>
      <c r="F92" s="59">
        <v>77</v>
      </c>
      <c r="G92" s="74">
        <v>82</v>
      </c>
    </row>
    <row r="93" spans="1:8" ht="15.9" customHeight="1" x14ac:dyDescent="0.3">
      <c r="A93" s="129"/>
      <c r="B93" s="2" t="s">
        <v>35</v>
      </c>
      <c r="C93" s="59">
        <f>62+208</f>
        <v>270</v>
      </c>
      <c r="D93" s="59">
        <v>138</v>
      </c>
      <c r="E93" s="63">
        <v>285</v>
      </c>
      <c r="F93" s="59">
        <v>149</v>
      </c>
      <c r="G93" s="74">
        <v>174</v>
      </c>
    </row>
    <row r="94" spans="1:8" ht="15.9" customHeight="1" x14ac:dyDescent="0.3">
      <c r="A94" s="129"/>
      <c r="B94" s="2" t="s">
        <v>36</v>
      </c>
      <c r="C94" s="59">
        <f>56+259</f>
        <v>315</v>
      </c>
      <c r="D94" s="59">
        <v>135</v>
      </c>
      <c r="E94" s="63">
        <v>252</v>
      </c>
      <c r="F94" s="59">
        <v>163</v>
      </c>
      <c r="G94" s="74">
        <v>182</v>
      </c>
    </row>
    <row r="95" spans="1:8" ht="15.9" customHeight="1" x14ac:dyDescent="0.3">
      <c r="A95" s="129"/>
      <c r="B95" s="2" t="s">
        <v>76</v>
      </c>
      <c r="C95" s="59">
        <f>11+29</f>
        <v>40</v>
      </c>
      <c r="D95" s="59">
        <v>2</v>
      </c>
      <c r="E95" s="63">
        <v>6</v>
      </c>
      <c r="F95" s="59">
        <v>8</v>
      </c>
      <c r="G95" s="74">
        <v>23</v>
      </c>
    </row>
    <row r="96" spans="1:8" ht="15.9" customHeight="1" x14ac:dyDescent="0.3">
      <c r="A96" s="129"/>
      <c r="B96" s="2" t="s">
        <v>37</v>
      </c>
      <c r="C96" s="59">
        <f>14+6</f>
        <v>20</v>
      </c>
      <c r="D96" s="59">
        <v>6</v>
      </c>
      <c r="E96" s="63">
        <v>10</v>
      </c>
      <c r="F96" s="59">
        <v>7</v>
      </c>
      <c r="G96" s="74">
        <v>18</v>
      </c>
    </row>
    <row r="97" spans="1:7" ht="15.9" customHeight="1" x14ac:dyDescent="0.3">
      <c r="A97" s="129"/>
      <c r="B97" s="2" t="s">
        <v>38</v>
      </c>
      <c r="C97" s="59">
        <f>180+27</f>
        <v>207</v>
      </c>
      <c r="D97" s="59">
        <v>36</v>
      </c>
      <c r="E97" s="63">
        <v>104</v>
      </c>
      <c r="F97" s="59">
        <v>56</v>
      </c>
      <c r="G97" s="74">
        <v>81</v>
      </c>
    </row>
    <row r="98" spans="1:7" ht="15.9" customHeight="1" x14ac:dyDescent="0.3">
      <c r="A98" s="129"/>
      <c r="B98" s="2" t="s">
        <v>77</v>
      </c>
      <c r="C98" s="59">
        <f>7+2</f>
        <v>9</v>
      </c>
      <c r="D98" s="59">
        <v>3</v>
      </c>
      <c r="E98" s="63">
        <v>3</v>
      </c>
      <c r="F98" s="59">
        <v>3</v>
      </c>
      <c r="G98" s="74">
        <v>28</v>
      </c>
    </row>
    <row r="99" spans="1:7" ht="15.9" customHeight="1" x14ac:dyDescent="0.3">
      <c r="A99" s="129"/>
      <c r="B99" s="2" t="s">
        <v>39</v>
      </c>
      <c r="C99" s="59">
        <f>96+57</f>
        <v>153</v>
      </c>
      <c r="D99" s="59">
        <v>68</v>
      </c>
      <c r="E99" s="63">
        <v>147</v>
      </c>
      <c r="F99" s="59">
        <v>93</v>
      </c>
      <c r="G99" s="74">
        <v>103</v>
      </c>
    </row>
    <row r="100" spans="1:7" ht="15.9" customHeight="1" x14ac:dyDescent="0.3">
      <c r="A100" s="129"/>
      <c r="B100" s="2" t="s">
        <v>91</v>
      </c>
      <c r="C100" s="59">
        <f>38+68</f>
        <v>106</v>
      </c>
      <c r="D100" s="59">
        <v>27</v>
      </c>
      <c r="E100" s="63">
        <v>48</v>
      </c>
      <c r="F100" s="59">
        <v>39</v>
      </c>
      <c r="G100" s="74">
        <v>48</v>
      </c>
    </row>
    <row r="101" spans="1:7" ht="18" customHeight="1" x14ac:dyDescent="0.3">
      <c r="A101" s="129"/>
      <c r="B101" s="2" t="s">
        <v>101</v>
      </c>
      <c r="C101" s="59">
        <f>12+13</f>
        <v>25</v>
      </c>
      <c r="D101" s="59">
        <v>4</v>
      </c>
      <c r="E101" s="63">
        <v>16</v>
      </c>
      <c r="F101" s="59">
        <v>1</v>
      </c>
      <c r="G101" s="74">
        <v>59</v>
      </c>
    </row>
    <row r="102" spans="1:7" ht="15.9" customHeight="1" x14ac:dyDescent="0.3">
      <c r="A102" s="129"/>
      <c r="B102" s="2" t="s">
        <v>80</v>
      </c>
      <c r="C102" s="59">
        <f>47+105</f>
        <v>152</v>
      </c>
      <c r="D102" s="59">
        <v>54</v>
      </c>
      <c r="E102" s="63">
        <v>89</v>
      </c>
      <c r="F102" s="59">
        <v>56</v>
      </c>
      <c r="G102" s="74">
        <v>82</v>
      </c>
    </row>
    <row r="103" spans="1:7" ht="15.9" customHeight="1" x14ac:dyDescent="0.3">
      <c r="A103" s="129"/>
      <c r="B103" s="2" t="s">
        <v>40</v>
      </c>
      <c r="C103" s="59">
        <f>21+16</f>
        <v>37</v>
      </c>
      <c r="D103" s="59">
        <v>20</v>
      </c>
      <c r="E103" s="63">
        <v>20</v>
      </c>
      <c r="F103" s="59">
        <v>29</v>
      </c>
      <c r="G103" s="74">
        <v>22</v>
      </c>
    </row>
    <row r="104" spans="1:7" ht="26.25" customHeight="1" x14ac:dyDescent="0.3">
      <c r="A104" s="129"/>
      <c r="B104" s="13" t="s">
        <v>87</v>
      </c>
      <c r="C104" s="59">
        <f>18+12</f>
        <v>30</v>
      </c>
      <c r="D104" s="59">
        <v>23</v>
      </c>
      <c r="E104" s="63">
        <v>25</v>
      </c>
      <c r="F104" s="59">
        <v>39</v>
      </c>
      <c r="G104" s="59">
        <v>49</v>
      </c>
    </row>
    <row r="105" spans="1:7" ht="15.9" customHeight="1" x14ac:dyDescent="0.3">
      <c r="A105" s="129"/>
      <c r="B105" s="2" t="s">
        <v>41</v>
      </c>
      <c r="C105" s="59">
        <f>12+30</f>
        <v>42</v>
      </c>
      <c r="D105" s="59">
        <v>19</v>
      </c>
      <c r="E105" s="63">
        <v>23</v>
      </c>
      <c r="F105" s="59">
        <v>45</v>
      </c>
      <c r="G105" s="59">
        <v>30</v>
      </c>
    </row>
    <row r="106" spans="1:7" ht="15.9" customHeight="1" x14ac:dyDescent="0.3">
      <c r="A106" s="129"/>
      <c r="B106" s="2" t="s">
        <v>42</v>
      </c>
      <c r="C106" s="59">
        <f>28+13</f>
        <v>41</v>
      </c>
      <c r="D106" s="59">
        <v>23</v>
      </c>
      <c r="E106" s="63">
        <v>33</v>
      </c>
      <c r="F106" s="59">
        <v>30</v>
      </c>
      <c r="G106" s="59">
        <v>30</v>
      </c>
    </row>
    <row r="107" spans="1:7" ht="15.9" customHeight="1" x14ac:dyDescent="0.3">
      <c r="A107" s="129"/>
      <c r="B107" s="2" t="s">
        <v>43</v>
      </c>
      <c r="C107" s="59">
        <f>5+8</f>
        <v>13</v>
      </c>
      <c r="D107" s="59">
        <v>14</v>
      </c>
      <c r="E107" s="63">
        <v>10</v>
      </c>
      <c r="F107" s="59">
        <v>4</v>
      </c>
      <c r="G107" s="59">
        <v>7</v>
      </c>
    </row>
    <row r="108" spans="1:7" ht="15.9" customHeight="1" x14ac:dyDescent="0.3">
      <c r="A108" s="129"/>
      <c r="B108" s="2" t="s">
        <v>44</v>
      </c>
      <c r="C108" s="59">
        <f>30+57</f>
        <v>87</v>
      </c>
      <c r="D108" s="59">
        <v>41</v>
      </c>
      <c r="E108" s="63">
        <v>47</v>
      </c>
      <c r="F108" s="59">
        <v>47</v>
      </c>
      <c r="G108" s="59">
        <v>44</v>
      </c>
    </row>
    <row r="109" spans="1:7" ht="25.5" customHeight="1" x14ac:dyDescent="0.3">
      <c r="A109" s="129"/>
      <c r="B109" s="13" t="s">
        <v>88</v>
      </c>
      <c r="C109" s="59">
        <f>77+109</f>
        <v>186</v>
      </c>
      <c r="D109" s="59">
        <v>102</v>
      </c>
      <c r="E109" s="63">
        <v>83</v>
      </c>
      <c r="F109" s="59">
        <v>121</v>
      </c>
      <c r="G109" s="59">
        <v>143</v>
      </c>
    </row>
    <row r="110" spans="1:7" ht="26.25" customHeight="1" x14ac:dyDescent="0.3">
      <c r="A110" s="129"/>
      <c r="B110" s="13" t="s">
        <v>96</v>
      </c>
      <c r="C110" s="59">
        <f>20+34</f>
        <v>54</v>
      </c>
      <c r="D110" s="59">
        <v>36</v>
      </c>
      <c r="E110" s="63">
        <v>29</v>
      </c>
      <c r="F110" s="59">
        <v>32</v>
      </c>
      <c r="G110" s="59">
        <v>91</v>
      </c>
    </row>
    <row r="111" spans="1:7" ht="25.5" customHeight="1" x14ac:dyDescent="0.3">
      <c r="A111" s="129"/>
      <c r="B111" s="13" t="s">
        <v>86</v>
      </c>
      <c r="C111" s="59">
        <f>15+29</f>
        <v>44</v>
      </c>
      <c r="D111" s="59">
        <v>25</v>
      </c>
      <c r="E111" s="63">
        <v>31</v>
      </c>
      <c r="F111" s="59">
        <v>38</v>
      </c>
      <c r="G111" s="59">
        <v>122</v>
      </c>
    </row>
    <row r="112" spans="1:7" ht="20.25" customHeight="1" x14ac:dyDescent="0.3">
      <c r="A112" s="129"/>
      <c r="B112" s="2" t="s">
        <v>81</v>
      </c>
      <c r="C112" s="59">
        <f>17+42</f>
        <v>59</v>
      </c>
      <c r="D112" s="59">
        <v>54</v>
      </c>
      <c r="E112" s="63">
        <v>34</v>
      </c>
      <c r="F112" s="59">
        <v>34</v>
      </c>
      <c r="G112" s="59">
        <v>38</v>
      </c>
    </row>
    <row r="113" spans="1:7" ht="15.9" customHeight="1" x14ac:dyDescent="0.3">
      <c r="A113" s="129"/>
      <c r="B113" s="2" t="s">
        <v>45</v>
      </c>
      <c r="C113" s="59">
        <f>36+102</f>
        <v>138</v>
      </c>
      <c r="D113" s="59">
        <v>80</v>
      </c>
      <c r="E113" s="63">
        <v>66</v>
      </c>
      <c r="F113" s="59">
        <v>60</v>
      </c>
      <c r="G113" s="59">
        <v>125</v>
      </c>
    </row>
    <row r="114" spans="1:7" ht="15.9" customHeight="1" x14ac:dyDescent="0.3">
      <c r="A114" s="129"/>
      <c r="B114" s="2" t="s">
        <v>92</v>
      </c>
      <c r="C114" s="59">
        <f>23+18</f>
        <v>41</v>
      </c>
      <c r="D114" s="59">
        <v>26</v>
      </c>
      <c r="E114" s="63">
        <v>30</v>
      </c>
      <c r="F114" s="59">
        <v>30</v>
      </c>
      <c r="G114" s="59">
        <v>21</v>
      </c>
    </row>
    <row r="115" spans="1:7" ht="15.9" customHeight="1" x14ac:dyDescent="0.3">
      <c r="A115" s="129"/>
      <c r="B115" s="2" t="s">
        <v>93</v>
      </c>
      <c r="C115" s="59">
        <f>6+17</f>
        <v>23</v>
      </c>
      <c r="D115" s="59">
        <v>14</v>
      </c>
      <c r="E115" s="63">
        <v>12</v>
      </c>
      <c r="F115" s="59">
        <v>21</v>
      </c>
      <c r="G115" s="59">
        <v>18</v>
      </c>
    </row>
    <row r="116" spans="1:7" ht="15.9" customHeight="1" x14ac:dyDescent="0.3">
      <c r="A116" s="129"/>
      <c r="B116" s="2" t="s">
        <v>63</v>
      </c>
      <c r="C116" s="59">
        <f>20+137</f>
        <v>157</v>
      </c>
      <c r="D116" s="59">
        <v>133</v>
      </c>
      <c r="E116" s="63">
        <v>126</v>
      </c>
      <c r="F116" s="59">
        <v>125</v>
      </c>
      <c r="G116" s="59">
        <v>126</v>
      </c>
    </row>
    <row r="117" spans="1:7" ht="15.9" customHeight="1" x14ac:dyDescent="0.3">
      <c r="A117" s="129"/>
      <c r="B117" s="2" t="s">
        <v>94</v>
      </c>
      <c r="C117" s="59">
        <f>16+17</f>
        <v>33</v>
      </c>
      <c r="D117" s="59">
        <v>33</v>
      </c>
      <c r="E117" s="63">
        <v>13</v>
      </c>
      <c r="F117" s="59">
        <v>17</v>
      </c>
      <c r="G117" s="59">
        <v>14</v>
      </c>
    </row>
    <row r="118" spans="1:7" ht="15.9" customHeight="1" x14ac:dyDescent="0.3">
      <c r="A118" s="129" t="s">
        <v>68</v>
      </c>
      <c r="B118" s="2" t="s">
        <v>3</v>
      </c>
      <c r="C118" s="59">
        <f>222+489</f>
        <v>711</v>
      </c>
      <c r="D118" s="63">
        <v>1137</v>
      </c>
      <c r="E118" s="63">
        <v>757</v>
      </c>
      <c r="F118" s="59">
        <v>795</v>
      </c>
      <c r="G118" s="59">
        <v>539</v>
      </c>
    </row>
    <row r="119" spans="1:7" ht="15.9" customHeight="1" x14ac:dyDescent="0.3">
      <c r="A119" s="129"/>
      <c r="B119" s="2" t="s">
        <v>4</v>
      </c>
      <c r="C119" s="59">
        <f>27+43</f>
        <v>70</v>
      </c>
      <c r="D119" s="63">
        <v>52</v>
      </c>
      <c r="E119" s="63">
        <v>86</v>
      </c>
      <c r="F119" s="59">
        <v>92</v>
      </c>
      <c r="G119" s="59">
        <v>99</v>
      </c>
    </row>
    <row r="120" spans="1:7" ht="24" customHeight="1" x14ac:dyDescent="0.3">
      <c r="A120" s="129"/>
      <c r="B120" s="13" t="s">
        <v>103</v>
      </c>
      <c r="C120" s="59">
        <f>17+78</f>
        <v>95</v>
      </c>
      <c r="D120" s="59">
        <v>13</v>
      </c>
      <c r="E120" s="63">
        <v>61</v>
      </c>
      <c r="F120" s="59">
        <v>42</v>
      </c>
      <c r="G120" s="59">
        <v>42</v>
      </c>
    </row>
    <row r="121" spans="1:7" ht="15.9" customHeight="1" x14ac:dyDescent="0.3">
      <c r="A121" s="129"/>
      <c r="B121" s="2" t="s">
        <v>90</v>
      </c>
      <c r="C121" s="59">
        <f>2+14</f>
        <v>16</v>
      </c>
      <c r="D121" s="59">
        <v>37</v>
      </c>
      <c r="E121" s="63">
        <v>28</v>
      </c>
      <c r="F121" s="59">
        <v>30</v>
      </c>
      <c r="G121" s="59">
        <v>9</v>
      </c>
    </row>
    <row r="122" spans="1:7" ht="15.9" customHeight="1" x14ac:dyDescent="0.3">
      <c r="A122" s="129"/>
      <c r="B122" s="2" t="s">
        <v>11</v>
      </c>
      <c r="C122" s="118">
        <v>2299</v>
      </c>
      <c r="D122" s="118">
        <v>1938</v>
      </c>
      <c r="E122" s="118">
        <v>1198</v>
      </c>
      <c r="F122" s="70">
        <v>293</v>
      </c>
      <c r="G122" s="59">
        <v>263</v>
      </c>
    </row>
    <row r="123" spans="1:7" ht="15.9" customHeight="1" x14ac:dyDescent="0.3">
      <c r="A123" s="129"/>
      <c r="B123" s="2" t="s">
        <v>12</v>
      </c>
      <c r="C123" s="123"/>
      <c r="D123" s="123"/>
      <c r="E123" s="123"/>
      <c r="F123" s="77">
        <v>510</v>
      </c>
      <c r="G123" s="59">
        <v>382</v>
      </c>
    </row>
    <row r="124" spans="1:7" ht="15.9" customHeight="1" x14ac:dyDescent="0.3">
      <c r="A124" s="129"/>
      <c r="B124" s="2" t="s">
        <v>13</v>
      </c>
      <c r="C124" s="119"/>
      <c r="D124" s="119"/>
      <c r="E124" s="119"/>
      <c r="F124" s="78">
        <v>628</v>
      </c>
      <c r="G124" s="59">
        <v>543</v>
      </c>
    </row>
    <row r="125" spans="1:7" ht="15.9" customHeight="1" x14ac:dyDescent="0.3">
      <c r="A125" s="129"/>
      <c r="B125" s="2" t="s">
        <v>5</v>
      </c>
      <c r="C125" s="59">
        <v>374</v>
      </c>
      <c r="D125" s="59">
        <v>486</v>
      </c>
      <c r="E125" s="118">
        <v>400</v>
      </c>
      <c r="F125" s="63">
        <v>512</v>
      </c>
      <c r="G125" s="59">
        <v>503</v>
      </c>
    </row>
    <row r="126" spans="1:7" ht="15.9" customHeight="1" x14ac:dyDescent="0.3">
      <c r="A126" s="129"/>
      <c r="B126" s="2" t="s">
        <v>6</v>
      </c>
      <c r="C126" s="59">
        <v>100</v>
      </c>
      <c r="D126" s="59">
        <v>109</v>
      </c>
      <c r="E126" s="123"/>
      <c r="F126" s="63">
        <v>139</v>
      </c>
      <c r="G126" s="59">
        <v>162</v>
      </c>
    </row>
    <row r="127" spans="1:7" ht="15.9" customHeight="1" x14ac:dyDescent="0.3">
      <c r="A127" s="129"/>
      <c r="B127" s="2" t="s">
        <v>70</v>
      </c>
      <c r="C127" s="59">
        <v>132</v>
      </c>
      <c r="D127" s="59">
        <v>169</v>
      </c>
      <c r="E127" s="123"/>
      <c r="F127" s="63">
        <v>234</v>
      </c>
      <c r="G127" s="59">
        <v>190</v>
      </c>
    </row>
    <row r="128" spans="1:7" ht="15.9" customHeight="1" x14ac:dyDescent="0.3">
      <c r="A128" s="129"/>
      <c r="B128" s="2" t="s">
        <v>7</v>
      </c>
      <c r="C128" s="59">
        <v>16</v>
      </c>
      <c r="D128" s="59">
        <v>22</v>
      </c>
      <c r="E128" s="123"/>
      <c r="F128" s="63">
        <v>17</v>
      </c>
      <c r="G128" s="59">
        <v>31</v>
      </c>
    </row>
    <row r="129" spans="1:7" ht="15.9" customHeight="1" x14ac:dyDescent="0.3">
      <c r="A129" s="129"/>
      <c r="B129" s="2" t="s">
        <v>8</v>
      </c>
      <c r="C129" s="59">
        <v>22</v>
      </c>
      <c r="D129" s="59">
        <v>22</v>
      </c>
      <c r="E129" s="123"/>
      <c r="F129" s="63">
        <v>46</v>
      </c>
      <c r="G129" s="59">
        <v>50</v>
      </c>
    </row>
    <row r="130" spans="1:7" ht="15.9" customHeight="1" x14ac:dyDescent="0.3">
      <c r="A130" s="129"/>
      <c r="B130" s="2" t="s">
        <v>9</v>
      </c>
      <c r="C130" s="59">
        <v>26</v>
      </c>
      <c r="D130" s="59">
        <v>40</v>
      </c>
      <c r="E130" s="123"/>
      <c r="F130" s="63">
        <v>56</v>
      </c>
      <c r="G130" s="59">
        <v>83</v>
      </c>
    </row>
    <row r="131" spans="1:7" ht="15.9" customHeight="1" x14ac:dyDescent="0.3">
      <c r="A131" s="129"/>
      <c r="B131" s="2" t="s">
        <v>10</v>
      </c>
      <c r="C131" s="59">
        <v>71</v>
      </c>
      <c r="D131" s="59">
        <v>109</v>
      </c>
      <c r="E131" s="119"/>
      <c r="F131" s="63">
        <v>117</v>
      </c>
      <c r="G131" s="59">
        <v>105</v>
      </c>
    </row>
    <row r="132" spans="1:7" ht="15.9" customHeight="1" x14ac:dyDescent="0.3">
      <c r="A132" s="129"/>
      <c r="B132" s="2" t="s">
        <v>15</v>
      </c>
      <c r="C132" s="59">
        <f>9+31</f>
        <v>40</v>
      </c>
      <c r="D132" s="59">
        <v>45</v>
      </c>
      <c r="E132" s="63">
        <v>42</v>
      </c>
      <c r="F132" s="59">
        <v>37</v>
      </c>
      <c r="G132" s="59">
        <v>53</v>
      </c>
    </row>
    <row r="133" spans="1:7" ht="15.9" customHeight="1" x14ac:dyDescent="0.3">
      <c r="A133" s="129"/>
      <c r="B133" s="2" t="s">
        <v>16</v>
      </c>
      <c r="C133" s="59">
        <f>49+231</f>
        <v>280</v>
      </c>
      <c r="D133" s="59">
        <v>261</v>
      </c>
      <c r="E133" s="63">
        <v>217</v>
      </c>
      <c r="F133" s="59">
        <v>198</v>
      </c>
      <c r="G133" s="59">
        <v>281</v>
      </c>
    </row>
    <row r="134" spans="1:7" ht="15.9" customHeight="1" x14ac:dyDescent="0.3">
      <c r="A134" s="129"/>
      <c r="B134" s="2" t="s">
        <v>17</v>
      </c>
      <c r="C134" s="59">
        <f>42+117</f>
        <v>159</v>
      </c>
      <c r="D134" s="59">
        <v>115</v>
      </c>
      <c r="E134" s="63">
        <v>126</v>
      </c>
      <c r="F134" s="59">
        <v>100</v>
      </c>
      <c r="G134" s="59">
        <v>115</v>
      </c>
    </row>
    <row r="135" spans="1:7" ht="15.9" customHeight="1" x14ac:dyDescent="0.3">
      <c r="A135" s="129"/>
      <c r="B135" s="2" t="s">
        <v>74</v>
      </c>
      <c r="C135" s="59">
        <f>13+21</f>
        <v>34</v>
      </c>
      <c r="D135" s="59">
        <v>38</v>
      </c>
      <c r="E135" s="63">
        <v>35</v>
      </c>
      <c r="F135" s="59">
        <v>41</v>
      </c>
      <c r="G135" s="59">
        <v>36</v>
      </c>
    </row>
    <row r="136" spans="1:7" ht="15.9" customHeight="1" x14ac:dyDescent="0.3">
      <c r="A136" s="129"/>
      <c r="B136" s="2" t="s">
        <v>82</v>
      </c>
      <c r="C136" s="59">
        <f>5+25</f>
        <v>30</v>
      </c>
      <c r="D136" s="59">
        <v>25</v>
      </c>
      <c r="E136" s="63">
        <v>27</v>
      </c>
      <c r="F136" s="59">
        <v>22</v>
      </c>
      <c r="G136" s="59">
        <v>23</v>
      </c>
    </row>
    <row r="137" spans="1:7" ht="15.9" customHeight="1" x14ac:dyDescent="0.3">
      <c r="A137" s="129"/>
      <c r="B137" s="2" t="s">
        <v>75</v>
      </c>
      <c r="C137" s="59">
        <f>14+54</f>
        <v>68</v>
      </c>
      <c r="D137" s="59">
        <v>60</v>
      </c>
      <c r="E137" s="63">
        <v>46</v>
      </c>
      <c r="F137" s="59">
        <v>28</v>
      </c>
      <c r="G137" s="59">
        <v>33</v>
      </c>
    </row>
    <row r="138" spans="1:7" ht="15.9" customHeight="1" x14ac:dyDescent="0.3">
      <c r="A138" s="129"/>
      <c r="B138" s="2" t="s">
        <v>18</v>
      </c>
      <c r="C138" s="59">
        <f>1+18</f>
        <v>19</v>
      </c>
      <c r="D138" s="59">
        <v>29</v>
      </c>
      <c r="E138" s="63">
        <v>24</v>
      </c>
      <c r="F138" s="59">
        <v>24</v>
      </c>
      <c r="G138" s="59">
        <v>21</v>
      </c>
    </row>
    <row r="139" spans="1:7" ht="15.9" customHeight="1" x14ac:dyDescent="0.3">
      <c r="A139" s="129"/>
      <c r="B139" s="2" t="s">
        <v>30</v>
      </c>
      <c r="C139" s="59">
        <f>79+228</f>
        <v>307</v>
      </c>
      <c r="D139" s="59">
        <v>249</v>
      </c>
      <c r="E139" s="63">
        <v>269</v>
      </c>
      <c r="F139" s="59">
        <v>276</v>
      </c>
      <c r="G139" s="59">
        <v>225</v>
      </c>
    </row>
    <row r="140" spans="1:7" ht="15.9" customHeight="1" x14ac:dyDescent="0.3">
      <c r="A140" s="129"/>
      <c r="B140" s="2" t="s">
        <v>31</v>
      </c>
      <c r="C140" s="59">
        <f>396+890</f>
        <v>1286</v>
      </c>
      <c r="D140" s="59">
        <v>761</v>
      </c>
      <c r="E140" s="63">
        <v>1200</v>
      </c>
      <c r="F140" s="59">
        <v>1032</v>
      </c>
      <c r="G140" s="59">
        <v>865</v>
      </c>
    </row>
    <row r="141" spans="1:7" ht="15.9" customHeight="1" x14ac:dyDescent="0.3">
      <c r="A141" s="129"/>
      <c r="B141" s="2" t="s">
        <v>32</v>
      </c>
      <c r="C141" s="59">
        <f>69+152</f>
        <v>221</v>
      </c>
      <c r="D141" s="59">
        <v>121</v>
      </c>
      <c r="E141" s="63">
        <v>258</v>
      </c>
      <c r="F141" s="59">
        <v>148</v>
      </c>
      <c r="G141" s="59">
        <v>221</v>
      </c>
    </row>
    <row r="142" spans="1:7" ht="15.9" customHeight="1" x14ac:dyDescent="0.3">
      <c r="A142" s="129"/>
      <c r="B142" s="2" t="s">
        <v>33</v>
      </c>
      <c r="C142" s="59">
        <f>31+25</f>
        <v>56</v>
      </c>
      <c r="D142" s="59">
        <v>58</v>
      </c>
      <c r="E142" s="63">
        <v>46</v>
      </c>
      <c r="F142" s="59">
        <v>31</v>
      </c>
      <c r="G142" s="59">
        <v>28</v>
      </c>
    </row>
    <row r="143" spans="1:7" ht="15.9" customHeight="1" x14ac:dyDescent="0.3">
      <c r="A143" s="129"/>
      <c r="B143" s="2" t="s">
        <v>79</v>
      </c>
      <c r="C143" s="59">
        <f>1+12</f>
        <v>13</v>
      </c>
      <c r="D143" s="59">
        <v>20</v>
      </c>
      <c r="E143" s="63">
        <v>26</v>
      </c>
      <c r="F143" s="59">
        <v>16</v>
      </c>
      <c r="G143" s="59">
        <v>30</v>
      </c>
    </row>
    <row r="144" spans="1:7" ht="15.9" customHeight="1" x14ac:dyDescent="0.3">
      <c r="A144" s="129"/>
      <c r="B144" s="2" t="s">
        <v>69</v>
      </c>
      <c r="C144" s="59">
        <f>6+27</f>
        <v>33</v>
      </c>
      <c r="D144" s="59">
        <v>73</v>
      </c>
      <c r="E144" s="63">
        <v>35</v>
      </c>
      <c r="F144" s="59">
        <v>37</v>
      </c>
      <c r="G144" s="59">
        <v>55</v>
      </c>
    </row>
    <row r="145" spans="1:8" ht="24" customHeight="1" x14ac:dyDescent="0.3">
      <c r="A145" s="129"/>
      <c r="B145" s="13" t="s">
        <v>97</v>
      </c>
      <c r="C145" s="59">
        <f>3+37</f>
        <v>40</v>
      </c>
      <c r="D145" s="59">
        <v>42</v>
      </c>
      <c r="E145" s="63">
        <v>36</v>
      </c>
      <c r="F145" s="59">
        <v>35</v>
      </c>
      <c r="G145" s="59">
        <v>64</v>
      </c>
    </row>
    <row r="146" spans="1:8" ht="24" customHeight="1" x14ac:dyDescent="0.3">
      <c r="A146" s="129"/>
      <c r="B146" s="13" t="s">
        <v>109</v>
      </c>
      <c r="C146" s="59">
        <v>0</v>
      </c>
      <c r="D146" s="59">
        <v>0</v>
      </c>
      <c r="E146" s="63">
        <v>0</v>
      </c>
      <c r="F146" s="59">
        <v>0</v>
      </c>
      <c r="G146" s="59">
        <v>20</v>
      </c>
    </row>
    <row r="147" spans="1:8" ht="15.9" customHeight="1" x14ac:dyDescent="0.3">
      <c r="A147" s="129"/>
      <c r="B147" s="2" t="s">
        <v>46</v>
      </c>
      <c r="C147" s="59">
        <f>7+42</f>
        <v>49</v>
      </c>
      <c r="D147" s="59">
        <v>95</v>
      </c>
      <c r="E147" s="63">
        <v>70</v>
      </c>
      <c r="F147" s="59">
        <v>116</v>
      </c>
      <c r="G147" s="59">
        <v>107</v>
      </c>
    </row>
    <row r="148" spans="1:8" ht="15.9" customHeight="1" x14ac:dyDescent="0.3">
      <c r="A148" s="129"/>
      <c r="B148" s="2" t="s">
        <v>105</v>
      </c>
      <c r="C148" s="59">
        <f>3+36</f>
        <v>39</v>
      </c>
      <c r="D148" s="59">
        <v>50</v>
      </c>
      <c r="E148" s="63">
        <v>47</v>
      </c>
      <c r="F148" s="59">
        <v>47</v>
      </c>
      <c r="G148" s="59">
        <v>43</v>
      </c>
    </row>
    <row r="149" spans="1:8" ht="15.9" customHeight="1" x14ac:dyDescent="0.3">
      <c r="A149" s="130" t="s">
        <v>98</v>
      </c>
      <c r="B149" s="130"/>
      <c r="C149" s="71">
        <f>SUM(C84:C148)</f>
        <v>10151</v>
      </c>
      <c r="D149" s="71">
        <f>SUM(D84:D148)</f>
        <v>8325</v>
      </c>
      <c r="E149" s="71">
        <f>SUM(E84:E148)</f>
        <v>8206</v>
      </c>
      <c r="F149" s="71">
        <f>SUM(F84:F148)</f>
        <v>8254</v>
      </c>
      <c r="G149" s="71">
        <f>SUM(G84:G148)</f>
        <v>8067</v>
      </c>
      <c r="H149" s="10"/>
    </row>
    <row r="150" spans="1:8" ht="15.9" customHeight="1" x14ac:dyDescent="0.3">
      <c r="A150" s="129" t="s">
        <v>66</v>
      </c>
      <c r="B150" s="2" t="s">
        <v>0</v>
      </c>
      <c r="C150" s="59">
        <f>20+26</f>
        <v>46</v>
      </c>
      <c r="D150" s="63">
        <v>33</v>
      </c>
      <c r="E150" s="63">
        <v>45</v>
      </c>
      <c r="F150" s="59">
        <v>32</v>
      </c>
      <c r="G150" s="74">
        <v>33</v>
      </c>
    </row>
    <row r="151" spans="1:8" ht="15.9" customHeight="1" x14ac:dyDescent="0.3">
      <c r="A151" s="129"/>
      <c r="B151" s="2" t="s">
        <v>13</v>
      </c>
      <c r="C151" s="59">
        <f>14+25</f>
        <v>39</v>
      </c>
      <c r="D151" s="59">
        <v>30</v>
      </c>
      <c r="E151" s="63">
        <v>45</v>
      </c>
      <c r="F151" s="59">
        <v>69</v>
      </c>
      <c r="G151" s="59">
        <v>76</v>
      </c>
    </row>
    <row r="152" spans="1:8" ht="15.9" customHeight="1" x14ac:dyDescent="0.3">
      <c r="A152" s="129"/>
      <c r="B152" s="2" t="s">
        <v>24</v>
      </c>
      <c r="C152" s="59">
        <f>23+73</f>
        <v>96</v>
      </c>
      <c r="D152" s="59">
        <v>112</v>
      </c>
      <c r="E152" s="63">
        <v>163</v>
      </c>
      <c r="F152" s="59">
        <v>144</v>
      </c>
      <c r="G152" s="59">
        <v>57</v>
      </c>
    </row>
    <row r="153" spans="1:8" ht="15.9" customHeight="1" x14ac:dyDescent="0.3">
      <c r="A153" s="129"/>
      <c r="B153" s="2" t="s">
        <v>22</v>
      </c>
      <c r="C153" s="59">
        <f>3+15</f>
        <v>18</v>
      </c>
      <c r="D153" s="59">
        <v>21</v>
      </c>
      <c r="E153" s="63">
        <v>27</v>
      </c>
      <c r="F153" s="59">
        <v>78</v>
      </c>
      <c r="G153" s="59">
        <v>20</v>
      </c>
    </row>
    <row r="154" spans="1:8" ht="15.9" customHeight="1" x14ac:dyDescent="0.3">
      <c r="A154" s="129"/>
      <c r="B154" s="2" t="s">
        <v>25</v>
      </c>
      <c r="C154" s="59">
        <f>26+11</f>
        <v>37</v>
      </c>
      <c r="D154" s="59">
        <v>51</v>
      </c>
      <c r="E154" s="63">
        <v>59</v>
      </c>
      <c r="F154" s="59">
        <v>65</v>
      </c>
      <c r="G154" s="59">
        <v>57</v>
      </c>
    </row>
    <row r="155" spans="1:8" ht="15.9" customHeight="1" x14ac:dyDescent="0.3">
      <c r="A155" s="129"/>
      <c r="B155" s="2" t="s">
        <v>28</v>
      </c>
      <c r="C155" s="59">
        <f>41+30</f>
        <v>71</v>
      </c>
      <c r="D155" s="59">
        <v>40</v>
      </c>
      <c r="E155" s="63">
        <v>48</v>
      </c>
      <c r="F155" s="59">
        <v>45</v>
      </c>
      <c r="G155" s="59">
        <v>26</v>
      </c>
    </row>
    <row r="156" spans="1:8" ht="15.9" customHeight="1" x14ac:dyDescent="0.3">
      <c r="A156" s="130" t="s">
        <v>98</v>
      </c>
      <c r="B156" s="130"/>
      <c r="C156" s="71">
        <f>SUM(C150:C155)</f>
        <v>307</v>
      </c>
      <c r="D156" s="71">
        <f>SUM(D150:D155)</f>
        <v>287</v>
      </c>
      <c r="E156" s="71">
        <f>SUM(E150:E155)</f>
        <v>387</v>
      </c>
      <c r="F156" s="71">
        <f>SUM(F150:F155)</f>
        <v>433</v>
      </c>
      <c r="G156" s="71">
        <f>SUM(G150:G155)</f>
        <v>269</v>
      </c>
    </row>
    <row r="157" spans="1:8" ht="15.9" customHeight="1" x14ac:dyDescent="0.3">
      <c r="A157" s="129" t="s">
        <v>67</v>
      </c>
      <c r="B157" s="2" t="s">
        <v>25</v>
      </c>
      <c r="C157" s="59">
        <f>32+21</f>
        <v>53</v>
      </c>
      <c r="D157" s="59">
        <v>48</v>
      </c>
      <c r="E157" s="63">
        <v>34</v>
      </c>
      <c r="F157" s="59">
        <v>58</v>
      </c>
      <c r="G157" s="59">
        <v>65</v>
      </c>
    </row>
    <row r="158" spans="1:8" ht="15.9" customHeight="1" x14ac:dyDescent="0.3">
      <c r="A158" s="129"/>
      <c r="B158" s="2" t="s">
        <v>28</v>
      </c>
      <c r="C158" s="59">
        <f>9+10</f>
        <v>19</v>
      </c>
      <c r="D158" s="59">
        <v>34</v>
      </c>
      <c r="E158" s="63">
        <v>30</v>
      </c>
      <c r="F158" s="59">
        <v>29</v>
      </c>
      <c r="G158" s="59">
        <v>18</v>
      </c>
    </row>
    <row r="159" spans="1:8" ht="15.9" customHeight="1" x14ac:dyDescent="0.3">
      <c r="A159" s="130" t="s">
        <v>98</v>
      </c>
      <c r="B159" s="130"/>
      <c r="C159" s="71">
        <f>SUM(C157:C158)</f>
        <v>72</v>
      </c>
      <c r="D159" s="71">
        <f>SUM(D157:D158)</f>
        <v>82</v>
      </c>
      <c r="E159" s="71">
        <f>SUM(E157:E158)</f>
        <v>64</v>
      </c>
      <c r="F159" s="71">
        <f>SUM(F157:F158)</f>
        <v>87</v>
      </c>
      <c r="G159" s="71">
        <f>SUM(G157:G158)</f>
        <v>83</v>
      </c>
    </row>
    <row r="160" spans="1:8" ht="32.25" customHeight="1" x14ac:dyDescent="0.3">
      <c r="A160" s="7" t="s">
        <v>84</v>
      </c>
      <c r="B160" s="2" t="s">
        <v>3</v>
      </c>
      <c r="C160" s="59">
        <f>45+91</f>
        <v>136</v>
      </c>
      <c r="D160" s="63">
        <v>280</v>
      </c>
      <c r="E160" s="63">
        <v>200</v>
      </c>
      <c r="F160" s="59">
        <v>208</v>
      </c>
      <c r="G160" s="59">
        <v>168</v>
      </c>
    </row>
    <row r="161" spans="1:10" ht="15.9" customHeight="1" x14ac:dyDescent="0.3">
      <c r="A161" s="130" t="s">
        <v>98</v>
      </c>
      <c r="B161" s="130"/>
      <c r="C161" s="71">
        <f>+C160</f>
        <v>136</v>
      </c>
      <c r="D161" s="71">
        <f>+D160</f>
        <v>280</v>
      </c>
      <c r="E161" s="71">
        <f>+E160</f>
        <v>200</v>
      </c>
      <c r="F161" s="71">
        <f>+F160</f>
        <v>208</v>
      </c>
      <c r="G161" s="71">
        <f>+G160</f>
        <v>168</v>
      </c>
    </row>
    <row r="162" spans="1:10" ht="15.9" customHeight="1" x14ac:dyDescent="0.3">
      <c r="A162" s="132" t="s">
        <v>54</v>
      </c>
      <c r="B162" s="2" t="s">
        <v>12</v>
      </c>
      <c r="C162" s="118">
        <f>20+76</f>
        <v>96</v>
      </c>
      <c r="D162" s="59">
        <v>109</v>
      </c>
      <c r="E162" s="63">
        <v>128</v>
      </c>
      <c r="F162" s="59">
        <v>144</v>
      </c>
      <c r="G162" s="59">
        <v>74</v>
      </c>
    </row>
    <row r="163" spans="1:10" ht="15.9" customHeight="1" x14ac:dyDescent="0.3">
      <c r="A163" s="132"/>
      <c r="B163" s="2" t="s">
        <v>13</v>
      </c>
      <c r="C163" s="119"/>
      <c r="D163" s="59">
        <v>100</v>
      </c>
      <c r="E163" s="63">
        <v>64</v>
      </c>
      <c r="F163" s="59">
        <v>147</v>
      </c>
      <c r="G163" s="59">
        <v>63</v>
      </c>
    </row>
    <row r="164" spans="1:10" ht="15.9" customHeight="1" x14ac:dyDescent="0.3">
      <c r="A164" s="130" t="s">
        <v>98</v>
      </c>
      <c r="B164" s="130"/>
      <c r="C164" s="71">
        <f>+C162</f>
        <v>96</v>
      </c>
      <c r="D164" s="71">
        <f>SUM(D162:D163)</f>
        <v>209</v>
      </c>
      <c r="E164" s="71">
        <f>SUM(E162:E163)</f>
        <v>192</v>
      </c>
      <c r="F164" s="71">
        <f>SUM(F162:F163)</f>
        <v>291</v>
      </c>
      <c r="G164" s="71">
        <f>SUM(G162:G163)</f>
        <v>137</v>
      </c>
      <c r="I164" s="10"/>
    </row>
    <row r="165" spans="1:10" ht="15.9" customHeight="1" x14ac:dyDescent="0.3">
      <c r="A165" s="131" t="s">
        <v>55</v>
      </c>
      <c r="B165" s="2" t="s">
        <v>24</v>
      </c>
      <c r="C165" s="59">
        <f>12+23</f>
        <v>35</v>
      </c>
      <c r="D165" s="59">
        <v>45</v>
      </c>
      <c r="E165" s="63">
        <v>28</v>
      </c>
      <c r="F165" s="59">
        <v>19</v>
      </c>
      <c r="G165" s="59">
        <v>9</v>
      </c>
    </row>
    <row r="166" spans="1:10" ht="15.9" customHeight="1" x14ac:dyDescent="0.3">
      <c r="A166" s="131"/>
      <c r="B166" s="2" t="s">
        <v>78</v>
      </c>
      <c r="C166" s="59">
        <f>22+6</f>
        <v>28</v>
      </c>
      <c r="D166" s="59">
        <v>15</v>
      </c>
      <c r="E166" s="63">
        <v>35</v>
      </c>
      <c r="F166" s="59">
        <v>34</v>
      </c>
      <c r="G166" s="59">
        <v>27</v>
      </c>
    </row>
    <row r="167" spans="1:10" ht="15.9" customHeight="1" x14ac:dyDescent="0.3">
      <c r="A167" s="131"/>
      <c r="B167" s="2" t="s">
        <v>38</v>
      </c>
      <c r="C167" s="59">
        <f>0+4</f>
        <v>4</v>
      </c>
      <c r="D167" s="59">
        <v>5</v>
      </c>
      <c r="E167" s="63">
        <v>8</v>
      </c>
      <c r="F167" s="59">
        <v>6</v>
      </c>
      <c r="G167" s="59">
        <v>8</v>
      </c>
    </row>
    <row r="168" spans="1:10" ht="15.9" customHeight="1" x14ac:dyDescent="0.3">
      <c r="A168" s="131"/>
      <c r="B168" s="2" t="s">
        <v>76</v>
      </c>
      <c r="C168" s="59">
        <f>16+2</f>
        <v>18</v>
      </c>
      <c r="D168" s="59">
        <v>20</v>
      </c>
      <c r="E168" s="63">
        <v>23</v>
      </c>
      <c r="F168" s="59">
        <v>22</v>
      </c>
      <c r="G168" s="59">
        <v>24</v>
      </c>
    </row>
    <row r="169" spans="1:10" ht="15.9" customHeight="1" x14ac:dyDescent="0.3">
      <c r="A169" s="131"/>
      <c r="B169" s="2" t="s">
        <v>12</v>
      </c>
      <c r="C169" s="59">
        <v>100</v>
      </c>
      <c r="D169" s="59">
        <v>58</v>
      </c>
      <c r="E169" s="63">
        <v>23</v>
      </c>
      <c r="F169" s="59">
        <v>36</v>
      </c>
      <c r="G169" s="59">
        <v>29</v>
      </c>
    </row>
    <row r="170" spans="1:10" ht="15.9" customHeight="1" x14ac:dyDescent="0.3">
      <c r="A170" s="131"/>
      <c r="B170" s="2" t="s">
        <v>13</v>
      </c>
      <c r="C170" s="59">
        <v>0</v>
      </c>
      <c r="D170" s="59">
        <v>72</v>
      </c>
      <c r="E170" s="63">
        <v>51</v>
      </c>
      <c r="F170" s="59">
        <v>58</v>
      </c>
      <c r="G170" s="59">
        <v>44</v>
      </c>
    </row>
    <row r="171" spans="1:10" ht="15.9" customHeight="1" x14ac:dyDescent="0.3">
      <c r="A171" s="130" t="s">
        <v>98</v>
      </c>
      <c r="B171" s="130"/>
      <c r="C171" s="71">
        <f>SUM(C165:C170)</f>
        <v>185</v>
      </c>
      <c r="D171" s="71">
        <f>SUM(D165:D170)</f>
        <v>215</v>
      </c>
      <c r="E171" s="71">
        <f>SUM(E165:E170)</f>
        <v>168</v>
      </c>
      <c r="F171" s="71">
        <f>SUM(F165:F170)</f>
        <v>175</v>
      </c>
      <c r="G171" s="71">
        <f>SUM(G165:G170)</f>
        <v>141</v>
      </c>
    </row>
    <row r="172" spans="1:10" ht="28.5" customHeight="1" x14ac:dyDescent="0.3">
      <c r="A172" s="150" t="s">
        <v>152</v>
      </c>
      <c r="B172" s="151"/>
      <c r="C172" s="79">
        <f>+C21+C24+C26+C33+C39+C43+C47+C53+C56+C58+C63+C67+C70+C78+C83+C149+C156+C159+C161+C164+C171</f>
        <v>15035</v>
      </c>
      <c r="D172" s="79">
        <f>+D21+D24+D26+D33+D39+D43+D47+D53+D56+D58+D63+D67+D70+D78+D83+D149+D156+D159+D161+D164+D171</f>
        <v>13626</v>
      </c>
      <c r="E172" s="79">
        <f>+E21+E24+E26+E33+E39+E43+E47+E53+E56+E58+E63+E67+E70+E78+E83+E149+E156+E159+E161+E164+E171</f>
        <v>13527</v>
      </c>
      <c r="F172" s="79">
        <f>+F21+F24+F26+F33+F39+F43+F47+F53+F56+F58+F63+F67+F70+F78+F83+F149+F156+F159+F161+F164+F171</f>
        <v>13388</v>
      </c>
      <c r="G172" s="79">
        <f>+G21+G24+G26+G33+G39+G43+G47+G53+G56+G58+G63+G67+G70+G78+G83+G149+G156+G159+G161+G164+G171</f>
        <v>12281</v>
      </c>
      <c r="H172" s="10"/>
      <c r="J172" s="10"/>
    </row>
    <row r="173" spans="1:10" x14ac:dyDescent="0.3">
      <c r="A173" s="148" t="s">
        <v>153</v>
      </c>
    </row>
    <row r="174" spans="1:10" x14ac:dyDescent="0.3">
      <c r="C174" s="80"/>
      <c r="D174" s="80"/>
      <c r="E174" s="80"/>
      <c r="F174" s="80"/>
      <c r="G174" s="80"/>
    </row>
  </sheetData>
  <mergeCells count="56">
    <mergeCell ref="E125:E131"/>
    <mergeCell ref="C122:C124"/>
    <mergeCell ref="C76:C77"/>
    <mergeCell ref="A68:A69"/>
    <mergeCell ref="D122:D124"/>
    <mergeCell ref="E122:E124"/>
    <mergeCell ref="C162:C163"/>
    <mergeCell ref="C61:C62"/>
    <mergeCell ref="A161:B161"/>
    <mergeCell ref="A150:A155"/>
    <mergeCell ref="A149:B149"/>
    <mergeCell ref="A157:A158"/>
    <mergeCell ref="A70:B70"/>
    <mergeCell ref="A79:A82"/>
    <mergeCell ref="A71:A77"/>
    <mergeCell ref="G51:G52"/>
    <mergeCell ref="D51:D52"/>
    <mergeCell ref="C51:C52"/>
    <mergeCell ref="A33:B33"/>
    <mergeCell ref="A39:B39"/>
    <mergeCell ref="A34:A38"/>
    <mergeCell ref="A54:A55"/>
    <mergeCell ref="A64:A66"/>
    <mergeCell ref="A59:A62"/>
    <mergeCell ref="A165:A170"/>
    <mergeCell ref="A1:G1"/>
    <mergeCell ref="A21:B21"/>
    <mergeCell ref="A24:B24"/>
    <mergeCell ref="A26:B26"/>
    <mergeCell ref="A3:A4"/>
    <mergeCell ref="C3:G3"/>
    <mergeCell ref="E22:E23"/>
    <mergeCell ref="A22:A23"/>
    <mergeCell ref="B3:B4"/>
    <mergeCell ref="A5:A20"/>
    <mergeCell ref="A83:B83"/>
    <mergeCell ref="A58:B58"/>
    <mergeCell ref="A67:B67"/>
    <mergeCell ref="A27:A32"/>
    <mergeCell ref="A43:B43"/>
    <mergeCell ref="A172:B172"/>
    <mergeCell ref="A84:A117"/>
    <mergeCell ref="A118:A148"/>
    <mergeCell ref="A56:B56"/>
    <mergeCell ref="A40:A42"/>
    <mergeCell ref="A44:A46"/>
    <mergeCell ref="A48:A52"/>
    <mergeCell ref="A47:B47"/>
    <mergeCell ref="A159:B159"/>
    <mergeCell ref="A162:A163"/>
    <mergeCell ref="A156:B156"/>
    <mergeCell ref="A78:B78"/>
    <mergeCell ref="A164:B164"/>
    <mergeCell ref="A171:B171"/>
    <mergeCell ref="A63:B63"/>
    <mergeCell ref="A53:B53"/>
  </mergeCells>
  <pageMargins left="0.70866141732283472" right="0.70866141732283472" top="0.74803149606299213" bottom="0.74803149606299213" header="0.31496062992125984" footer="0.31496062992125984"/>
  <pageSetup paperSize="5" scale="90" orientation="portrait" r:id="rId1"/>
  <rowBreaks count="4" manualBreakCount="4">
    <brk id="47" max="6" man="1"/>
    <brk id="83" max="16383" man="1"/>
    <brk id="117" max="6" man="1"/>
    <brk id="1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Postulantes por UAs_2025</vt:lpstr>
      <vt:lpstr>Postu por UAs-Carreras y Sedes</vt:lpstr>
      <vt:lpstr>Postu por Carreras y Sedes</vt:lpstr>
      <vt:lpstr>'Postu por Carreras y Sedes'!Área_de_impresión</vt:lpstr>
      <vt:lpstr>'Postu por UAs-Carreras y Sedes'!Área_de_impresión</vt:lpstr>
      <vt:lpstr>'Postulantes por UAs_2025'!Área_de_impresión</vt:lpstr>
      <vt:lpstr>'Postu por Carreras y Sedes'!Títulos_a_imprimir</vt:lpstr>
      <vt:lpstr>'Postu por UAs-Carreras y Sedes'!Títulos_a_imprimir</vt:lpstr>
      <vt:lpstr>'Postulantes por UAs_2025'!Títulos_a_imprimir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LOURDES ALMIRON</cp:lastModifiedBy>
  <cp:lastPrinted>2026-06-01T17:05:01Z</cp:lastPrinted>
  <dcterms:created xsi:type="dcterms:W3CDTF">2011-11-22T01:56:28Z</dcterms:created>
  <dcterms:modified xsi:type="dcterms:W3CDTF">2026-10-22T14:12:29Z</dcterms:modified>
</cp:coreProperties>
</file>